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omments2.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omments3.xml" ContentType="application/vnd.openxmlformats-officedocument.spreadsheetml.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comments4.xml" ContentType="application/vnd.openxmlformats-officedocument.spreadsheetml.comment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7.xml" ContentType="application/vnd.openxmlformats-officedocument.drawing+xml"/>
  <Override PartName="/xl/comments5.xml" ContentType="application/vnd.openxmlformats-officedocument.spreadsheetml.comment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66925"/>
  <mc:AlternateContent xmlns:mc="http://schemas.openxmlformats.org/markup-compatibility/2006">
    <mc:Choice Requires="x15">
      <x15ac:absPath xmlns:x15ac="http://schemas.microsoft.com/office/spreadsheetml/2010/11/ac" url="C:\Users\medmondson\OneDrive - State of Idaho\Governor's Working Group On Salmon\TaskForce Comment Cards Meeting 1\"/>
    </mc:Choice>
  </mc:AlternateContent>
  <xr:revisionPtr revIDLastSave="280" documentId="8_{9C208754-2905-4C09-A9AE-EAEC9C9C1C7E}" xr6:coauthVersionLast="41" xr6:coauthVersionMax="41" xr10:uidLastSave="{93ACD490-D7B6-4C64-9DEE-D1069248817C}"/>
  <bookViews>
    <workbookView xWindow="29580" yWindow="780" windowWidth="21600" windowHeight="11325" xr2:uid="{A0F72114-AC8F-41C1-86CD-B3F7F136FCF9}"/>
  </bookViews>
  <sheets>
    <sheet name="Summary" sheetId="1" r:id="rId1"/>
    <sheet name="Snake River Steelhead 1" sheetId="2" r:id="rId2"/>
    <sheet name="Snake River Steelhead 2" sheetId="3" r:id="rId3"/>
    <sheet name="Snake River SpSU 1" sheetId="10" r:id="rId4"/>
    <sheet name="Snake River SpSu 2" sheetId="11" r:id="rId5"/>
    <sheet name="Snake River Fall Chinook 1" sheetId="6" r:id="rId6"/>
    <sheet name="Snake River Falls Chinook 2" sheetId="7" r:id="rId7"/>
    <sheet name="Snake River Sockeye 1" sheetId="8" r:id="rId8"/>
    <sheet name="Snake River Sockeye 2" sheetId="9" r:id="rId9"/>
  </sheets>
  <externalReferences>
    <externalReference r:id="rId10"/>
    <externalReference r:id="rId11"/>
    <externalReference r:id="rId12"/>
    <externalReference r:id="rId1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5" i="1" l="1"/>
  <c r="J44" i="11" l="1"/>
  <c r="I44" i="11"/>
  <c r="H44" i="11"/>
  <c r="G44" i="11"/>
  <c r="F44" i="11"/>
  <c r="E44" i="11"/>
  <c r="C44" i="11"/>
  <c r="B44" i="11"/>
  <c r="BC43" i="11"/>
  <c r="T43" i="11" s="1"/>
  <c r="X43" i="11" s="1"/>
  <c r="BB43" i="11"/>
  <c r="S43" i="11" s="1"/>
  <c r="W43" i="11" s="1"/>
  <c r="Z43" i="11" s="1"/>
  <c r="BA43" i="11"/>
  <c r="R43" i="11" s="1"/>
  <c r="V43" i="11" s="1"/>
  <c r="AZ43" i="11"/>
  <c r="Q43" i="11" s="1"/>
  <c r="U43" i="11" s="1"/>
  <c r="O43" i="11"/>
  <c r="D43" i="11"/>
  <c r="BC42" i="11"/>
  <c r="T42" i="11" s="1"/>
  <c r="X42" i="11" s="1"/>
  <c r="BB42" i="11"/>
  <c r="S42" i="11" s="1"/>
  <c r="W42" i="11" s="1"/>
  <c r="Z42" i="11" s="1"/>
  <c r="BA42" i="11"/>
  <c r="R42" i="11" s="1"/>
  <c r="V42" i="11" s="1"/>
  <c r="AZ42" i="11"/>
  <c r="Q42" i="11" s="1"/>
  <c r="U42" i="11" s="1"/>
  <c r="Y42" i="11" s="1"/>
  <c r="O42" i="11"/>
  <c r="D42" i="11"/>
  <c r="BC41" i="11"/>
  <c r="T41" i="11" s="1"/>
  <c r="X41" i="11" s="1"/>
  <c r="BB41" i="11"/>
  <c r="S41" i="11" s="1"/>
  <c r="W41" i="11" s="1"/>
  <c r="Z41" i="11" s="1"/>
  <c r="BA41" i="11"/>
  <c r="AZ41" i="11"/>
  <c r="Q41" i="11" s="1"/>
  <c r="U41" i="11" s="1"/>
  <c r="R41" i="11"/>
  <c r="V41" i="11" s="1"/>
  <c r="O41" i="11"/>
  <c r="D41" i="11"/>
  <c r="BC40" i="11"/>
  <c r="T40" i="11" s="1"/>
  <c r="X40" i="11" s="1"/>
  <c r="BB40" i="11"/>
  <c r="S40" i="11" s="1"/>
  <c r="W40" i="11" s="1"/>
  <c r="Z40" i="11" s="1"/>
  <c r="AC40" i="11" s="1"/>
  <c r="BA40" i="11"/>
  <c r="R40" i="11" s="1"/>
  <c r="V40" i="11" s="1"/>
  <c r="AZ40" i="11"/>
  <c r="Q40" i="11" s="1"/>
  <c r="U40" i="11" s="1"/>
  <c r="O40" i="11"/>
  <c r="D40" i="11"/>
  <c r="BC39" i="11"/>
  <c r="T39" i="11" s="1"/>
  <c r="X39" i="11" s="1"/>
  <c r="BB39" i="11"/>
  <c r="S39" i="11" s="1"/>
  <c r="W39" i="11" s="1"/>
  <c r="Z39" i="11" s="1"/>
  <c r="BA39" i="11"/>
  <c r="R39" i="11" s="1"/>
  <c r="V39" i="11" s="1"/>
  <c r="AZ39" i="11"/>
  <c r="Q39" i="11" s="1"/>
  <c r="U39" i="11" s="1"/>
  <c r="O39" i="11"/>
  <c r="D39" i="11"/>
  <c r="BC38" i="11"/>
  <c r="T38" i="11" s="1"/>
  <c r="X38" i="11" s="1"/>
  <c r="BB38" i="11"/>
  <c r="S38" i="11" s="1"/>
  <c r="W38" i="11" s="1"/>
  <c r="Z38" i="11" s="1"/>
  <c r="AC38" i="11" s="1"/>
  <c r="BA38" i="11"/>
  <c r="R38" i="11" s="1"/>
  <c r="V38" i="11" s="1"/>
  <c r="AZ38" i="11"/>
  <c r="Q38" i="11" s="1"/>
  <c r="U38" i="11" s="1"/>
  <c r="O38" i="11"/>
  <c r="D38" i="11"/>
  <c r="BC37" i="11"/>
  <c r="T37" i="11" s="1"/>
  <c r="X37" i="11" s="1"/>
  <c r="BB37" i="11"/>
  <c r="S37" i="11" s="1"/>
  <c r="W37" i="11" s="1"/>
  <c r="Z37" i="11" s="1"/>
  <c r="BA37" i="11"/>
  <c r="AZ37" i="11"/>
  <c r="Q37" i="11" s="1"/>
  <c r="U37" i="11" s="1"/>
  <c r="R37" i="11"/>
  <c r="V37" i="11" s="1"/>
  <c r="O37" i="11"/>
  <c r="D37" i="11"/>
  <c r="BC36" i="11"/>
  <c r="T36" i="11" s="1"/>
  <c r="X36" i="11" s="1"/>
  <c r="BB36" i="11"/>
  <c r="S36" i="11" s="1"/>
  <c r="W36" i="11" s="1"/>
  <c r="Z36" i="11" s="1"/>
  <c r="BA36" i="11"/>
  <c r="R36" i="11" s="1"/>
  <c r="V36" i="11" s="1"/>
  <c r="AZ36" i="11"/>
  <c r="Q36" i="11" s="1"/>
  <c r="U36" i="11" s="1"/>
  <c r="O36" i="11"/>
  <c r="D36" i="11"/>
  <c r="BC35" i="11"/>
  <c r="T35" i="11" s="1"/>
  <c r="X35" i="11" s="1"/>
  <c r="BB35" i="11"/>
  <c r="S35" i="11" s="1"/>
  <c r="W35" i="11" s="1"/>
  <c r="Z35" i="11" s="1"/>
  <c r="BA35" i="11"/>
  <c r="R35" i="11" s="1"/>
  <c r="V35" i="11" s="1"/>
  <c r="AZ35" i="11"/>
  <c r="Q35" i="11" s="1"/>
  <c r="U35" i="11" s="1"/>
  <c r="O35" i="11"/>
  <c r="D35" i="11"/>
  <c r="BC34" i="11"/>
  <c r="T34" i="11" s="1"/>
  <c r="BB34" i="11"/>
  <c r="BA34" i="11"/>
  <c r="R34" i="11" s="1"/>
  <c r="AZ34" i="11"/>
  <c r="Q34" i="11" s="1"/>
  <c r="O34" i="11"/>
  <c r="D34" i="11"/>
  <c r="O33" i="11"/>
  <c r="D33" i="11"/>
  <c r="O32" i="11"/>
  <c r="D32" i="11"/>
  <c r="O31" i="11"/>
  <c r="D31" i="11"/>
  <c r="O30" i="11"/>
  <c r="D30" i="11"/>
  <c r="O29" i="11"/>
  <c r="D29" i="11"/>
  <c r="O28" i="11"/>
  <c r="D28" i="11"/>
  <c r="O27" i="11"/>
  <c r="D27" i="11"/>
  <c r="O26" i="11"/>
  <c r="D26" i="11"/>
  <c r="O25" i="11"/>
  <c r="D25" i="11"/>
  <c r="O24" i="11"/>
  <c r="D24" i="11"/>
  <c r="O23" i="11"/>
  <c r="D23" i="11"/>
  <c r="O22" i="11"/>
  <c r="D22" i="11"/>
  <c r="O21" i="11"/>
  <c r="D21" i="11"/>
  <c r="O20" i="11"/>
  <c r="D20" i="11"/>
  <c r="O19" i="11"/>
  <c r="D19" i="11"/>
  <c r="O18" i="11"/>
  <c r="D18" i="11"/>
  <c r="O17" i="11"/>
  <c r="D17" i="11"/>
  <c r="O16" i="11"/>
  <c r="D16" i="11"/>
  <c r="O15" i="11"/>
  <c r="D15" i="11"/>
  <c r="O14" i="11"/>
  <c r="D14" i="11"/>
  <c r="O13" i="11"/>
  <c r="D13" i="11"/>
  <c r="O12" i="11"/>
  <c r="D12" i="11"/>
  <c r="O11" i="11"/>
  <c r="D11" i="11"/>
  <c r="O10" i="11"/>
  <c r="D10" i="11"/>
  <c r="O9" i="11"/>
  <c r="D9" i="11"/>
  <c r="O8" i="11"/>
  <c r="D8" i="11"/>
  <c r="O7" i="11"/>
  <c r="D7" i="11"/>
  <c r="N110" i="10"/>
  <c r="M110" i="10"/>
  <c r="M113" i="10" s="1"/>
  <c r="S6" i="10" s="1"/>
  <c r="M106" i="10"/>
  <c r="M109" i="10" s="1"/>
  <c r="S5" i="10" s="1"/>
  <c r="I104" i="10"/>
  <c r="H104" i="10"/>
  <c r="G104" i="10"/>
  <c r="F104" i="10"/>
  <c r="E104" i="10"/>
  <c r="D104" i="10"/>
  <c r="O102" i="10"/>
  <c r="N102" i="10"/>
  <c r="M100" i="10"/>
  <c r="M102" i="10" s="1"/>
  <c r="M97" i="10"/>
  <c r="N56" i="10" s="1"/>
  <c r="R89" i="10"/>
  <c r="P89" i="10"/>
  <c r="O89" i="10"/>
  <c r="R56" i="10" s="1"/>
  <c r="R6" i="10"/>
  <c r="Q6" i="10"/>
  <c r="R5" i="10"/>
  <c r="Q5" i="10"/>
  <c r="D44" i="11" l="1"/>
  <c r="O44" i="11"/>
  <c r="AC36" i="11"/>
  <c r="AC42" i="11"/>
  <c r="P5" i="10"/>
  <c r="AZ45" i="11"/>
  <c r="Y35" i="11"/>
  <c r="AA35" i="11" s="1"/>
  <c r="AD35" i="11" s="1"/>
  <c r="Y37" i="11"/>
  <c r="AA37" i="11" s="1"/>
  <c r="AD37" i="11" s="1"/>
  <c r="Y39" i="11"/>
  <c r="AB39" i="11" s="1"/>
  <c r="Y41" i="11"/>
  <c r="Y43" i="11"/>
  <c r="AB43" i="11" s="1"/>
  <c r="BB45" i="11"/>
  <c r="AC35" i="11"/>
  <c r="AC37" i="11"/>
  <c r="AC39" i="11"/>
  <c r="AC41" i="11"/>
  <c r="AC43" i="11"/>
  <c r="Q44" i="11"/>
  <c r="Y36" i="11"/>
  <c r="Y38" i="11"/>
  <c r="Y40" i="11"/>
  <c r="AB42" i="11"/>
  <c r="AA42" i="11"/>
  <c r="AD42" i="11" s="1"/>
  <c r="V34" i="11"/>
  <c r="V44" i="11" s="1"/>
  <c r="R44" i="11"/>
  <c r="AA41" i="11"/>
  <c r="AD41" i="11" s="1"/>
  <c r="AB41" i="11"/>
  <c r="AA43" i="11"/>
  <c r="AD43" i="11" s="1"/>
  <c r="X34" i="11"/>
  <c r="X44" i="11" s="1"/>
  <c r="T44" i="11"/>
  <c r="BA45" i="11"/>
  <c r="S34" i="11"/>
  <c r="BC45" i="11"/>
  <c r="U34" i="11"/>
  <c r="P6" i="10"/>
  <c r="AA39" i="11" l="1"/>
  <c r="AD39" i="11" s="1"/>
  <c r="AB37" i="11"/>
  <c r="AB35" i="11"/>
  <c r="AB38" i="11"/>
  <c r="AA38" i="11"/>
  <c r="AD38" i="11" s="1"/>
  <c r="AB36" i="11"/>
  <c r="AA36" i="11"/>
  <c r="AD36" i="11" s="1"/>
  <c r="U44" i="11"/>
  <c r="Y34" i="11"/>
  <c r="R45" i="11"/>
  <c r="AB40" i="11"/>
  <c r="AA40" i="11"/>
  <c r="AD40" i="11" s="1"/>
  <c r="W34" i="11"/>
  <c r="S44" i="11"/>
  <c r="W44" i="11" l="1"/>
  <c r="Z34" i="11"/>
  <c r="AA34" i="11"/>
  <c r="Y44" i="11"/>
  <c r="AB34" i="11"/>
  <c r="AB44" i="11" s="1"/>
  <c r="AD34" i="11" l="1"/>
  <c r="AD44" i="11" s="1"/>
  <c r="AA44" i="11"/>
  <c r="AC34" i="11"/>
  <c r="AC44" i="11" s="1"/>
  <c r="Z44" i="11"/>
  <c r="N44" i="9" l="1"/>
  <c r="G44" i="9"/>
  <c r="E44" i="9"/>
  <c r="D44" i="9"/>
  <c r="C44" i="9"/>
  <c r="W41" i="9"/>
  <c r="U41" i="9"/>
  <c r="K41" i="9"/>
  <c r="J41" i="9"/>
  <c r="I41" i="9"/>
  <c r="H41" i="9"/>
  <c r="F41" i="9"/>
  <c r="W40" i="9"/>
  <c r="U40" i="9"/>
  <c r="K40" i="9"/>
  <c r="J40" i="9"/>
  <c r="I40" i="9"/>
  <c r="H40" i="9"/>
  <c r="F40" i="9"/>
  <c r="W39" i="9"/>
  <c r="U39" i="9"/>
  <c r="T39" i="9"/>
  <c r="S39" i="9"/>
  <c r="K39" i="9"/>
  <c r="J39" i="9"/>
  <c r="I39" i="9"/>
  <c r="H39" i="9"/>
  <c r="F39" i="9"/>
  <c r="F44" i="9" s="1"/>
  <c r="W38" i="9"/>
  <c r="U38" i="9"/>
  <c r="T38" i="9"/>
  <c r="S38" i="9"/>
  <c r="K38" i="9"/>
  <c r="J38" i="9"/>
  <c r="I38" i="9"/>
  <c r="H38" i="9"/>
  <c r="F38" i="9"/>
  <c r="W37" i="9"/>
  <c r="U37" i="9"/>
  <c r="T37" i="9"/>
  <c r="S37" i="9"/>
  <c r="K37" i="9"/>
  <c r="J37" i="9"/>
  <c r="I37" i="9"/>
  <c r="H37" i="9"/>
  <c r="F37" i="9"/>
  <c r="W36" i="9"/>
  <c r="U36" i="9"/>
  <c r="T36" i="9"/>
  <c r="S36" i="9"/>
  <c r="K36" i="9"/>
  <c r="J36" i="9"/>
  <c r="I36" i="9"/>
  <c r="H36" i="9"/>
  <c r="F36" i="9"/>
  <c r="W35" i="9"/>
  <c r="U35" i="9"/>
  <c r="T35" i="9"/>
  <c r="S35" i="9"/>
  <c r="K35" i="9"/>
  <c r="J35" i="9"/>
  <c r="I35" i="9"/>
  <c r="H35" i="9"/>
  <c r="F35" i="9"/>
  <c r="W34" i="9"/>
  <c r="U34" i="9"/>
  <c r="T34" i="9"/>
  <c r="S34" i="9"/>
  <c r="K34" i="9"/>
  <c r="J34" i="9"/>
  <c r="I34" i="9"/>
  <c r="H34" i="9"/>
  <c r="F34" i="9"/>
  <c r="W33" i="9"/>
  <c r="U33" i="9"/>
  <c r="T33" i="9"/>
  <c r="S33" i="9"/>
  <c r="K33" i="9"/>
  <c r="J33" i="9"/>
  <c r="I33" i="9"/>
  <c r="H33" i="9"/>
  <c r="F33" i="9"/>
  <c r="W32" i="9"/>
  <c r="U32" i="9"/>
  <c r="T32" i="9"/>
  <c r="K32" i="9"/>
  <c r="J32" i="9"/>
  <c r="I32" i="9"/>
  <c r="H32" i="9"/>
  <c r="F32" i="9"/>
  <c r="W31" i="9"/>
  <c r="U31" i="9"/>
  <c r="T31" i="9"/>
  <c r="H31" i="9"/>
  <c r="F31" i="9"/>
  <c r="W30" i="9"/>
  <c r="U30" i="9"/>
  <c r="T30" i="9"/>
  <c r="H30" i="9"/>
  <c r="F30" i="9"/>
  <c r="W29" i="9"/>
  <c r="U29" i="9"/>
  <c r="T29" i="9"/>
  <c r="H29" i="9"/>
  <c r="F29" i="9"/>
  <c r="W28" i="9"/>
  <c r="U28" i="9"/>
  <c r="T28" i="9"/>
  <c r="H28" i="9"/>
  <c r="F28" i="9"/>
  <c r="W27" i="9"/>
  <c r="U27" i="9"/>
  <c r="T27" i="9"/>
  <c r="H27" i="9"/>
  <c r="F27" i="9"/>
  <c r="W26" i="9"/>
  <c r="U26" i="9"/>
  <c r="T26" i="9"/>
  <c r="H26" i="9"/>
  <c r="F26" i="9"/>
  <c r="W25" i="9"/>
  <c r="U25" i="9"/>
  <c r="T25" i="9"/>
  <c r="H25" i="9"/>
  <c r="F25" i="9"/>
  <c r="W24" i="9"/>
  <c r="U24" i="9"/>
  <c r="T24" i="9"/>
  <c r="H24" i="9"/>
  <c r="F24" i="9"/>
  <c r="U23" i="9"/>
  <c r="T23" i="9"/>
  <c r="H23" i="9"/>
  <c r="F23" i="9"/>
  <c r="U22" i="9"/>
  <c r="T22" i="9"/>
  <c r="H22" i="9"/>
  <c r="F22" i="9"/>
  <c r="U21" i="9"/>
  <c r="T21" i="9"/>
  <c r="H21" i="9"/>
  <c r="F21" i="9"/>
  <c r="U20" i="9"/>
  <c r="T20" i="9"/>
  <c r="H20" i="9"/>
  <c r="F20" i="9"/>
  <c r="U19" i="9"/>
  <c r="T19" i="9"/>
  <c r="H19" i="9"/>
  <c r="F19" i="9"/>
  <c r="U18" i="9"/>
  <c r="T18" i="9"/>
  <c r="H18" i="9"/>
  <c r="F18" i="9"/>
  <c r="U17" i="9"/>
  <c r="T17" i="9"/>
  <c r="H17" i="9"/>
  <c r="F17" i="9"/>
  <c r="U16" i="9"/>
  <c r="T16" i="9"/>
  <c r="H16" i="9"/>
  <c r="F16" i="9"/>
  <c r="U15" i="9"/>
  <c r="T15" i="9"/>
  <c r="H15" i="9"/>
  <c r="F15" i="9"/>
  <c r="U14" i="9"/>
  <c r="T14" i="9"/>
  <c r="H14" i="9"/>
  <c r="F14" i="9"/>
  <c r="U13" i="9"/>
  <c r="T13" i="9"/>
  <c r="H13" i="9"/>
  <c r="F13" i="9"/>
  <c r="U12" i="9"/>
  <c r="T12" i="9"/>
  <c r="H12" i="9"/>
  <c r="F12" i="9"/>
  <c r="U11" i="9"/>
  <c r="T11" i="9"/>
  <c r="H11" i="9"/>
  <c r="F11" i="9"/>
  <c r="U10" i="9"/>
  <c r="T10" i="9"/>
  <c r="H10" i="9"/>
  <c r="F10" i="9"/>
  <c r="U9" i="9"/>
  <c r="T9" i="9"/>
  <c r="H9" i="9"/>
  <c r="F9" i="9"/>
  <c r="U8" i="9"/>
  <c r="T8" i="9"/>
  <c r="H8" i="9"/>
  <c r="F8" i="9"/>
  <c r="U7" i="9"/>
  <c r="T7" i="9"/>
  <c r="H7" i="9"/>
  <c r="F7" i="9"/>
  <c r="U6" i="9"/>
  <c r="T6" i="9"/>
  <c r="H6" i="9"/>
  <c r="F6" i="9"/>
  <c r="U5" i="9"/>
  <c r="T5" i="9"/>
  <c r="H5" i="9"/>
  <c r="F5" i="9"/>
  <c r="M64" i="8"/>
  <c r="M60" i="8"/>
  <c r="G58" i="8"/>
  <c r="M56" i="8"/>
  <c r="P6" i="8" s="1"/>
  <c r="R6" i="8" s="1"/>
  <c r="M55" i="8"/>
  <c r="M67" i="8" s="1"/>
  <c r="M66" i="8" s="1"/>
  <c r="M52" i="8"/>
  <c r="M54" i="8" s="1"/>
  <c r="H52" i="8"/>
  <c r="G52" i="8"/>
  <c r="F52" i="8"/>
  <c r="D52" i="8"/>
  <c r="O48" i="8"/>
  <c r="M48" i="8"/>
  <c r="L40" i="8" s="1"/>
  <c r="Q46" i="8"/>
  <c r="Q45" i="8"/>
  <c r="Q48" i="8" s="1"/>
  <c r="P9" i="8" s="1"/>
  <c r="D44" i="8"/>
  <c r="R40" i="8"/>
  <c r="S9" i="8"/>
  <c r="S7" i="8"/>
  <c r="P7" i="8"/>
  <c r="R7" i="8" s="1"/>
  <c r="S6" i="8"/>
  <c r="S5" i="8"/>
  <c r="W44" i="9" l="1"/>
  <c r="H44" i="9"/>
  <c r="P40" i="9"/>
  <c r="O40" i="9" s="1"/>
  <c r="M65" i="8"/>
  <c r="J44" i="9"/>
  <c r="I44" i="9"/>
  <c r="K44" i="9"/>
  <c r="P41" i="9"/>
  <c r="O41" i="9" s="1"/>
  <c r="T41" i="9" s="1"/>
  <c r="S44" i="9"/>
  <c r="F47" i="9"/>
  <c r="F48" i="9" s="1"/>
  <c r="R9" i="8"/>
  <c r="Q9" i="8" s="1"/>
  <c r="M59" i="8"/>
  <c r="Q6" i="8"/>
  <c r="M53" i="8"/>
  <c r="P5" i="8"/>
  <c r="Q7" i="8"/>
  <c r="P44" i="9" l="1"/>
  <c r="P45" i="9" s="1"/>
  <c r="T40" i="9"/>
  <c r="O44" i="9"/>
  <c r="R5" i="8"/>
  <c r="Q5" i="8" s="1"/>
  <c r="M63" i="8"/>
  <c r="M62" i="8" s="1"/>
  <c r="M61" i="8" s="1"/>
  <c r="M58" i="8"/>
  <c r="M57" i="8" s="1"/>
  <c r="O45" i="9" l="1"/>
  <c r="K53" i="7"/>
  <c r="J59" i="7" s="1"/>
  <c r="I53" i="7"/>
  <c r="J58" i="7" s="1"/>
  <c r="Q48" i="7"/>
  <c r="D48" i="7"/>
  <c r="X46" i="7"/>
  <c r="N46" i="7"/>
  <c r="L46" i="7"/>
  <c r="K46" i="7"/>
  <c r="J46" i="7"/>
  <c r="I46" i="7"/>
  <c r="W45" i="7"/>
  <c r="N45" i="7"/>
  <c r="L45" i="7"/>
  <c r="K45" i="7"/>
  <c r="J45" i="7"/>
  <c r="I45" i="7"/>
  <c r="M45" i="7" s="1"/>
  <c r="X44" i="7"/>
  <c r="Y44" i="7" s="1"/>
  <c r="N44" i="7"/>
  <c r="L44" i="7"/>
  <c r="K44" i="7"/>
  <c r="J44" i="7"/>
  <c r="I44" i="7"/>
  <c r="M44" i="7" s="1"/>
  <c r="X43" i="7"/>
  <c r="Y43" i="7" s="1"/>
  <c r="N43" i="7"/>
  <c r="L43" i="7"/>
  <c r="K43" i="7"/>
  <c r="J43" i="7"/>
  <c r="I43" i="7"/>
  <c r="M43" i="7" s="1"/>
  <c r="X42" i="7"/>
  <c r="Y42" i="7" s="1"/>
  <c r="N42" i="7"/>
  <c r="N53" i="7" s="1"/>
  <c r="M42" i="7"/>
  <c r="L42" i="7"/>
  <c r="K42" i="7"/>
  <c r="J42" i="7"/>
  <c r="I42" i="7"/>
  <c r="X41" i="7"/>
  <c r="Y41" i="7" s="1"/>
  <c r="N41" i="7"/>
  <c r="M41" i="7"/>
  <c r="L41" i="7"/>
  <c r="K41" i="7"/>
  <c r="J41" i="7"/>
  <c r="I41" i="7"/>
  <c r="X40" i="7"/>
  <c r="Y40" i="7" s="1"/>
  <c r="N40" i="7"/>
  <c r="M40" i="7"/>
  <c r="L40" i="7"/>
  <c r="K40" i="7"/>
  <c r="J40" i="7"/>
  <c r="I40" i="7"/>
  <c r="X39" i="7"/>
  <c r="Y39" i="7" s="1"/>
  <c r="N39" i="7"/>
  <c r="L39" i="7"/>
  <c r="M39" i="7" s="1"/>
  <c r="K39" i="7"/>
  <c r="J39" i="7"/>
  <c r="I39" i="7"/>
  <c r="X38" i="7"/>
  <c r="Y38" i="7" s="1"/>
  <c r="N38" i="7"/>
  <c r="L38" i="7"/>
  <c r="K38" i="7"/>
  <c r="J38" i="7"/>
  <c r="I38" i="7"/>
  <c r="M38" i="7" s="1"/>
  <c r="X37" i="7"/>
  <c r="Y37" i="7" s="1"/>
  <c r="N37" i="7"/>
  <c r="L37" i="7"/>
  <c r="K37" i="7"/>
  <c r="J37" i="7"/>
  <c r="I37" i="7"/>
  <c r="I48" i="7" s="1"/>
  <c r="X36" i="7"/>
  <c r="Y36" i="7" s="1"/>
  <c r="N36" i="7"/>
  <c r="L36" i="7"/>
  <c r="K36" i="7"/>
  <c r="J36" i="7"/>
  <c r="I36" i="7"/>
  <c r="M36" i="7" s="1"/>
  <c r="X35" i="7"/>
  <c r="Y35" i="7" s="1"/>
  <c r="N35" i="7"/>
  <c r="L35" i="7"/>
  <c r="K35" i="7"/>
  <c r="J35" i="7"/>
  <c r="I35" i="7"/>
  <c r="M35" i="7" s="1"/>
  <c r="X34" i="7"/>
  <c r="Y34" i="7" s="1"/>
  <c r="N34" i="7"/>
  <c r="M34" i="7"/>
  <c r="L34" i="7"/>
  <c r="K34" i="7"/>
  <c r="J34" i="7"/>
  <c r="I34" i="7"/>
  <c r="X33" i="7"/>
  <c r="Y33" i="7" s="1"/>
  <c r="N33" i="7"/>
  <c r="M33" i="7"/>
  <c r="L33" i="7"/>
  <c r="K33" i="7"/>
  <c r="J33" i="7"/>
  <c r="I33" i="7"/>
  <c r="X32" i="7"/>
  <c r="Y32" i="7" s="1"/>
  <c r="N32" i="7"/>
  <c r="M32" i="7"/>
  <c r="L32" i="7"/>
  <c r="K32" i="7"/>
  <c r="J32" i="7"/>
  <c r="I32" i="7"/>
  <c r="X31" i="7"/>
  <c r="Y31" i="7" s="1"/>
  <c r="N31" i="7"/>
  <c r="L31" i="7"/>
  <c r="M31" i="7" s="1"/>
  <c r="K31" i="7"/>
  <c r="J31" i="7"/>
  <c r="I31" i="7"/>
  <c r="X30" i="7"/>
  <c r="Y30" i="7" s="1"/>
  <c r="N30" i="7"/>
  <c r="L30" i="7"/>
  <c r="K30" i="7"/>
  <c r="J30" i="7"/>
  <c r="I30" i="7"/>
  <c r="M30" i="7" s="1"/>
  <c r="X29" i="7"/>
  <c r="Y29" i="7" s="1"/>
  <c r="N29" i="7"/>
  <c r="L29" i="7"/>
  <c r="K29" i="7"/>
  <c r="J29" i="7"/>
  <c r="I29" i="7"/>
  <c r="M29" i="7" s="1"/>
  <c r="X28" i="7"/>
  <c r="Y28" i="7" s="1"/>
  <c r="N28" i="7"/>
  <c r="L28" i="7"/>
  <c r="K28" i="7"/>
  <c r="J28" i="7"/>
  <c r="I28" i="7"/>
  <c r="M28" i="7" s="1"/>
  <c r="X27" i="7"/>
  <c r="Y27" i="7" s="1"/>
  <c r="N27" i="7"/>
  <c r="L27" i="7"/>
  <c r="K27" i="7"/>
  <c r="J27" i="7"/>
  <c r="I27" i="7"/>
  <c r="M27" i="7" s="1"/>
  <c r="X26" i="7"/>
  <c r="Y26" i="7" s="1"/>
  <c r="N26" i="7"/>
  <c r="L26" i="7"/>
  <c r="K26" i="7"/>
  <c r="J26" i="7"/>
  <c r="I26" i="7"/>
  <c r="M26" i="7" s="1"/>
  <c r="X25" i="7"/>
  <c r="Y25" i="7" s="1"/>
  <c r="N25" i="7"/>
  <c r="M25" i="7"/>
  <c r="L25" i="7"/>
  <c r="K25" i="7"/>
  <c r="J25" i="7"/>
  <c r="I25" i="7"/>
  <c r="X24" i="7"/>
  <c r="Y24" i="7" s="1"/>
  <c r="N24" i="7"/>
  <c r="M24" i="7"/>
  <c r="L24" i="7"/>
  <c r="K24" i="7"/>
  <c r="J24" i="7"/>
  <c r="I24" i="7"/>
  <c r="X23" i="7"/>
  <c r="Y23" i="7" s="1"/>
  <c r="N23" i="7"/>
  <c r="L23" i="7"/>
  <c r="M23" i="7" s="1"/>
  <c r="K23" i="7"/>
  <c r="J23" i="7"/>
  <c r="I23" i="7"/>
  <c r="X22" i="7"/>
  <c r="Y22" i="7" s="1"/>
  <c r="N22" i="7"/>
  <c r="L22" i="7"/>
  <c r="K22" i="7"/>
  <c r="J22" i="7"/>
  <c r="I22" i="7"/>
  <c r="M22" i="7" s="1"/>
  <c r="X21" i="7"/>
  <c r="Y21" i="7" s="1"/>
  <c r="N21" i="7"/>
  <c r="L21" i="7"/>
  <c r="K21" i="7"/>
  <c r="J21" i="7"/>
  <c r="I21" i="7"/>
  <c r="M21" i="7" s="1"/>
  <c r="X20" i="7"/>
  <c r="Y20" i="7" s="1"/>
  <c r="N20" i="7"/>
  <c r="L20" i="7"/>
  <c r="K20" i="7"/>
  <c r="J20" i="7"/>
  <c r="I20" i="7"/>
  <c r="M20" i="7" s="1"/>
  <c r="X19" i="7"/>
  <c r="Y19" i="7" s="1"/>
  <c r="N19" i="7"/>
  <c r="L19" i="7"/>
  <c r="K19" i="7"/>
  <c r="J19" i="7"/>
  <c r="I19" i="7"/>
  <c r="M19" i="7" s="1"/>
  <c r="X18" i="7"/>
  <c r="Y18" i="7" s="1"/>
  <c r="N18" i="7"/>
  <c r="M18" i="7"/>
  <c r="L18" i="7"/>
  <c r="K18" i="7"/>
  <c r="J18" i="7"/>
  <c r="I18" i="7"/>
  <c r="X17" i="7"/>
  <c r="Y17" i="7" s="1"/>
  <c r="N17" i="7"/>
  <c r="M17" i="7"/>
  <c r="L17" i="7"/>
  <c r="K17" i="7"/>
  <c r="J17" i="7"/>
  <c r="I17" i="7"/>
  <c r="X16" i="7"/>
  <c r="Y16" i="7" s="1"/>
  <c r="N16" i="7"/>
  <c r="L16" i="7"/>
  <c r="M16" i="7" s="1"/>
  <c r="K16" i="7"/>
  <c r="J16" i="7"/>
  <c r="I16" i="7"/>
  <c r="X15" i="7"/>
  <c r="B15" i="7"/>
  <c r="X14" i="7"/>
  <c r="B14" i="7"/>
  <c r="B13" i="7" s="1"/>
  <c r="B12" i="7" s="1"/>
  <c r="B11" i="7" s="1"/>
  <c r="B10" i="7" s="1"/>
  <c r="B9" i="7" s="1"/>
  <c r="B8" i="7" s="1"/>
  <c r="B7" i="7" s="1"/>
  <c r="B6" i="7" s="1"/>
  <c r="B5" i="7" s="1"/>
  <c r="X13" i="7"/>
  <c r="X12" i="7"/>
  <c r="X11" i="7"/>
  <c r="X10" i="7"/>
  <c r="X9" i="7"/>
  <c r="X8" i="7"/>
  <c r="X7" i="7"/>
  <c r="X6" i="7"/>
  <c r="X5" i="7"/>
  <c r="G69" i="6"/>
  <c r="F69" i="6"/>
  <c r="E58" i="6"/>
  <c r="Q54" i="6"/>
  <c r="R50" i="6" s="1"/>
  <c r="P54" i="6"/>
  <c r="M54" i="6"/>
  <c r="M50" i="6" s="1"/>
  <c r="H51" i="6"/>
  <c r="R49" i="6" s="1"/>
  <c r="G51" i="6"/>
  <c r="Q49" i="6" s="1"/>
  <c r="Q50" i="6"/>
  <c r="H48" i="6"/>
  <c r="G48" i="6"/>
  <c r="F48" i="6"/>
  <c r="F51" i="6" s="1"/>
  <c r="P49" i="6" s="1"/>
  <c r="D48" i="6"/>
  <c r="D51" i="6" s="1"/>
  <c r="M49" i="6" s="1"/>
  <c r="Q44" i="6"/>
  <c r="L44" i="6"/>
  <c r="M37" i="7" l="1"/>
  <c r="M48" i="7" s="1"/>
  <c r="N48" i="7"/>
  <c r="M46" i="7"/>
  <c r="J48" i="7"/>
  <c r="X48" i="7"/>
  <c r="L48" i="7"/>
  <c r="Y48" i="7"/>
  <c r="Q34" i="3" l="1"/>
  <c r="P34" i="3"/>
  <c r="M34" i="3"/>
  <c r="K34" i="3"/>
  <c r="F34" i="3"/>
  <c r="BA33" i="3"/>
  <c r="AZ33" i="3"/>
  <c r="BA32" i="3"/>
  <c r="AZ32" i="3"/>
  <c r="O32" i="3"/>
  <c r="J32" i="3"/>
  <c r="E32" i="3"/>
  <c r="O31" i="3"/>
  <c r="J31" i="3"/>
  <c r="E31" i="3"/>
  <c r="O30" i="3"/>
  <c r="J30" i="3"/>
  <c r="E30" i="3"/>
  <c r="O29" i="3"/>
  <c r="J29" i="3"/>
  <c r="E29" i="3"/>
  <c r="O28" i="3"/>
  <c r="J28" i="3"/>
  <c r="E28" i="3"/>
  <c r="O27" i="3"/>
  <c r="J27" i="3"/>
  <c r="E27" i="3"/>
  <c r="O26" i="3"/>
  <c r="J26" i="3"/>
  <c r="E26" i="3"/>
  <c r="O25" i="3"/>
  <c r="J25" i="3"/>
  <c r="E25" i="3"/>
  <c r="O24" i="3"/>
  <c r="J24" i="3"/>
  <c r="E24" i="3"/>
  <c r="O23" i="3"/>
  <c r="J23" i="3"/>
  <c r="E23" i="3"/>
  <c r="O22" i="3"/>
  <c r="O34" i="3" s="1"/>
  <c r="J22" i="3"/>
  <c r="E22" i="3"/>
  <c r="O21" i="3"/>
  <c r="J21" i="3"/>
  <c r="E21" i="3"/>
  <c r="O20" i="3"/>
  <c r="J20" i="3"/>
  <c r="E20" i="3"/>
  <c r="O19" i="3"/>
  <c r="J19" i="3"/>
  <c r="E19" i="3"/>
  <c r="O18" i="3"/>
  <c r="J18" i="3"/>
  <c r="E18" i="3"/>
  <c r="O17" i="3"/>
  <c r="J17" i="3"/>
  <c r="E17" i="3"/>
  <c r="O16" i="3"/>
  <c r="J16" i="3"/>
  <c r="E16" i="3"/>
  <c r="O15" i="3"/>
  <c r="J15" i="3"/>
  <c r="E15" i="3"/>
  <c r="O14" i="3"/>
  <c r="J14" i="3"/>
  <c r="E14" i="3"/>
  <c r="O13" i="3"/>
  <c r="J13" i="3"/>
  <c r="E13" i="3"/>
  <c r="O12" i="3"/>
  <c r="J12" i="3"/>
  <c r="E12" i="3"/>
  <c r="O11" i="3"/>
  <c r="J11" i="3"/>
  <c r="E11" i="3"/>
  <c r="O10" i="3"/>
  <c r="J10" i="3"/>
  <c r="E10" i="3"/>
  <c r="O9" i="3"/>
  <c r="J9" i="3"/>
  <c r="E9" i="3"/>
  <c r="R8" i="3"/>
  <c r="R9" i="3" s="1"/>
  <c r="R10" i="3" s="1"/>
  <c r="R11" i="3" s="1"/>
  <c r="R12" i="3" s="1"/>
  <c r="R13" i="3" s="1"/>
  <c r="R14" i="3" s="1"/>
  <c r="R15" i="3" s="1"/>
  <c r="R16" i="3" s="1"/>
  <c r="R17" i="3" s="1"/>
  <c r="R18" i="3" s="1"/>
  <c r="R19" i="3" s="1"/>
  <c r="R20" i="3" s="1"/>
  <c r="R21" i="3" s="1"/>
  <c r="R22" i="3" s="1"/>
  <c r="R23" i="3" s="1"/>
  <c r="R24" i="3" s="1"/>
  <c r="R25" i="3" s="1"/>
  <c r="R26" i="3" s="1"/>
  <c r="R27" i="3" s="1"/>
  <c r="R28" i="3" s="1"/>
  <c r="R29" i="3" s="1"/>
  <c r="R30" i="3" s="1"/>
  <c r="R31" i="3" s="1"/>
  <c r="O8" i="3"/>
  <c r="J8" i="3"/>
  <c r="E8" i="3"/>
  <c r="O7" i="3"/>
  <c r="J7" i="3"/>
  <c r="E7" i="3"/>
  <c r="N84" i="2"/>
  <c r="M84" i="2"/>
  <c r="N83" i="2"/>
  <c r="M83" i="2"/>
  <c r="G76" i="2"/>
  <c r="I75" i="2"/>
  <c r="H75" i="2" s="1"/>
  <c r="P74" i="2"/>
  <c r="O74" i="2"/>
  <c r="I74" i="2"/>
  <c r="H74" i="2" s="1"/>
  <c r="I73" i="2"/>
  <c r="H73" i="2" s="1"/>
  <c r="I72" i="2"/>
  <c r="H72" i="2"/>
  <c r="I71" i="2"/>
  <c r="H71" i="2" s="1"/>
  <c r="I70" i="2"/>
  <c r="H70" i="2"/>
  <c r="I69" i="2"/>
  <c r="H69" i="2"/>
  <c r="I68" i="2"/>
  <c r="H68" i="2" s="1"/>
  <c r="N67" i="2"/>
  <c r="N69" i="2" s="1"/>
  <c r="N47" i="2" s="1"/>
  <c r="M67" i="2"/>
  <c r="I67" i="2"/>
  <c r="H67" i="2" s="1"/>
  <c r="N66" i="2"/>
  <c r="M66" i="2"/>
  <c r="M69" i="2" s="1"/>
  <c r="M47" i="2" s="1"/>
  <c r="I66" i="2"/>
  <c r="H66" i="2" s="1"/>
  <c r="I65" i="2"/>
  <c r="H65" i="2"/>
  <c r="I64" i="2"/>
  <c r="H64" i="2" s="1"/>
  <c r="I63" i="2"/>
  <c r="H63" i="2" s="1"/>
  <c r="I62" i="2"/>
  <c r="H62" i="2" s="1"/>
  <c r="I61" i="2"/>
  <c r="H61" i="2" s="1"/>
  <c r="P60" i="2"/>
  <c r="O60" i="2"/>
  <c r="R47" i="2" s="1"/>
  <c r="N60" i="2"/>
  <c r="I60" i="2"/>
  <c r="H60" i="2" s="1"/>
  <c r="I59" i="2"/>
  <c r="H59" i="2"/>
  <c r="I58" i="2"/>
  <c r="H58" i="2"/>
  <c r="I57" i="2"/>
  <c r="H57" i="2" s="1"/>
  <c r="I55" i="2"/>
  <c r="H55" i="2"/>
  <c r="I54" i="2"/>
  <c r="H54" i="2"/>
  <c r="I53" i="2"/>
  <c r="H53" i="2" s="1"/>
  <c r="I52" i="2"/>
  <c r="H52" i="2"/>
  <c r="I51" i="2"/>
  <c r="H51" i="2"/>
  <c r="M9" i="2"/>
  <c r="Q6" i="2"/>
  <c r="M82" i="2" l="1"/>
  <c r="I76" i="2"/>
  <c r="E34" i="3"/>
  <c r="R6" i="2"/>
  <c r="J34" i="3"/>
  <c r="H76" i="2"/>
  <c r="R79" i="2" s="1"/>
  <c r="P6" i="2"/>
  <c r="S6" i="2" s="1"/>
  <c r="M85" i="2"/>
  <c r="N82" i="2"/>
  <c r="N8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Ray Beamesderfer</author>
  </authors>
  <commentList>
    <comment ref="R84" authorId="0" shapeId="0" xr:uid="{CD350E00-A793-4742-9A4C-D9F93AC8B28B}">
      <text>
        <r>
          <rPr>
            <b/>
            <sz val="8"/>
            <color indexed="81"/>
            <rFont val="Tahoma"/>
            <family val="2"/>
          </rPr>
          <t xml:space="preserve">Cueewnr Mitigation target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Ray Beamesderfer</author>
    <author>xxx</author>
  </authors>
  <commentList>
    <comment ref="E60" authorId="0" shapeId="0" xr:uid="{57280EEF-C7F9-4CA5-9CB7-E9D01304A96D}">
      <text>
        <r>
          <rPr>
            <b/>
            <sz val="8"/>
            <color indexed="81"/>
            <rFont val="Tahoma"/>
            <family val="2"/>
          </rPr>
          <t>Ray Beamesderfer:</t>
        </r>
        <r>
          <rPr>
            <sz val="8"/>
            <color indexed="81"/>
            <rFont val="Tahoma"/>
            <family val="2"/>
          </rPr>
          <t xml:space="preserve">
based on survey data</t>
        </r>
      </text>
    </comment>
    <comment ref="F60" authorId="0" shapeId="0" xr:uid="{8B47D885-7B5A-492C-A2F3-51705183E95C}">
      <text>
        <r>
          <rPr>
            <b/>
            <sz val="8"/>
            <color indexed="81"/>
            <rFont val="Tahoma"/>
            <family val="2"/>
          </rPr>
          <t>Ray Beamesderfer:</t>
        </r>
        <r>
          <rPr>
            <sz val="8"/>
            <color indexed="81"/>
            <rFont val="Tahoma"/>
            <family val="2"/>
          </rPr>
          <t xml:space="preserve">
NPT ecological objectives approx late 1800s actual #s to Snake</t>
        </r>
      </text>
    </comment>
    <comment ref="N89" authorId="0" shapeId="0" xr:uid="{4818AFD4-92F1-4258-B8DD-E2CDA5E2BA6C}">
      <text>
        <r>
          <rPr>
            <b/>
            <sz val="8"/>
            <color indexed="81"/>
            <rFont val="Tahoma"/>
            <family val="2"/>
          </rPr>
          <t>Ray Beamesderfer:</t>
        </r>
        <r>
          <rPr>
            <sz val="8"/>
            <color indexed="81"/>
            <rFont val="Tahoma"/>
            <family val="2"/>
          </rPr>
          <t xml:space="preserve">
more than the sum of the individual values</t>
        </r>
      </text>
    </comment>
    <comment ref="M94" authorId="1" shapeId="0" xr:uid="{D7CA6A62-DFF5-4181-9A34-44BE3C0F2F4F}">
      <text>
        <r>
          <rPr>
            <b/>
            <sz val="9"/>
            <color indexed="81"/>
            <rFont val="Tahoma"/>
            <family val="2"/>
          </rPr>
          <t>2007-2016 avg</t>
        </r>
      </text>
    </comment>
    <comment ref="M95" authorId="1" shapeId="0" xr:uid="{C5281804-2C58-413D-BE70-9484A2A422B9}">
      <text>
        <r>
          <rPr>
            <b/>
            <sz val="9"/>
            <color indexed="81"/>
            <rFont val="Tahoma"/>
            <family val="2"/>
          </rPr>
          <t>2007-2016 avg</t>
        </r>
      </text>
    </comment>
    <comment ref="M99" authorId="1" shapeId="0" xr:uid="{B71D6032-0FBC-47D5-9C1C-723F20B6D4CC}">
      <text>
        <r>
          <rPr>
            <b/>
            <sz val="9"/>
            <color indexed="81"/>
            <rFont val="Tahoma"/>
            <family val="2"/>
          </rPr>
          <t>2007-2016 avg</t>
        </r>
      </text>
    </comment>
    <comment ref="M101" authorId="1" shapeId="0" xr:uid="{595EBB17-2AC8-4F88-BAD6-FB95FD29389B}">
      <text>
        <r>
          <rPr>
            <b/>
            <sz val="9"/>
            <color indexed="81"/>
            <rFont val="Tahoma"/>
            <family val="2"/>
          </rPr>
          <t>2007-2016 avg</t>
        </r>
      </text>
    </comment>
    <comment ref="H104" authorId="1" shapeId="0" xr:uid="{3DDE5D8B-9672-477D-A06C-962B6FBFB2C7}">
      <text>
        <r>
          <rPr>
            <b/>
            <sz val="9"/>
            <color indexed="81"/>
            <rFont val="Tahoma"/>
            <family val="2"/>
          </rPr>
          <t>figure has 78,875 as mid range goal</t>
        </r>
      </text>
    </comment>
    <comment ref="M107" authorId="1" shapeId="0" xr:uid="{4857A643-73D6-4AC3-8A83-B8258929F6EA}">
      <text>
        <r>
          <rPr>
            <b/>
            <sz val="9"/>
            <color indexed="81"/>
            <rFont val="Tahoma"/>
            <family val="2"/>
          </rPr>
          <t>2007-2016 avg (TAC est.) - does not include natl conv downstream from BON</t>
        </r>
      </text>
    </comment>
    <comment ref="M111" authorId="0" shapeId="0" xr:uid="{66506C41-D9C5-4EC4-AF79-1F321CF4E3F6}">
      <text>
        <r>
          <rPr>
            <b/>
            <sz val="8"/>
            <color indexed="81"/>
            <rFont val="Tahoma"/>
            <family val="2"/>
          </rPr>
          <t>Ray Beamesderfer:</t>
        </r>
        <r>
          <rPr>
            <sz val="8"/>
            <color indexed="81"/>
            <rFont val="Tahoma"/>
            <family val="2"/>
          </rPr>
          <t xml:space="preserve">
2008-2017 avg number of natual origin adults at L Granite Dam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Ray Beamesderfer</author>
  </authors>
  <commentList>
    <comment ref="D48" authorId="0" shapeId="0" xr:uid="{3F1580CF-5AA2-4342-BB0B-096B9BC89ACD}">
      <text>
        <r>
          <rPr>
            <b/>
            <sz val="8"/>
            <color indexed="81"/>
            <rFont val="Tahoma"/>
            <family val="2"/>
          </rPr>
          <t>Ray Beamesderfer:</t>
        </r>
        <r>
          <rPr>
            <sz val="8"/>
            <color indexed="81"/>
            <rFont val="Tahoma"/>
            <family val="2"/>
          </rPr>
          <t xml:space="preserve">
</t>
        </r>
      </text>
    </comment>
    <comment ref="F48" authorId="0" shapeId="0" xr:uid="{BBA6C3B8-82EE-47E3-A601-DCC8DAD62D5B}">
      <text>
        <r>
          <rPr>
            <b/>
            <sz val="8"/>
            <color indexed="81"/>
            <rFont val="Tahoma"/>
            <family val="2"/>
          </rPr>
          <t>Ray Beamesderfer:</t>
        </r>
        <r>
          <rPr>
            <sz val="8"/>
            <color indexed="81"/>
            <rFont val="Tahoma"/>
            <family val="2"/>
          </rPr>
          <t xml:space="preserve">
single population goal (scenario B). MAT is 3,000</t>
        </r>
      </text>
    </comment>
    <comment ref="M49" authorId="0" shapeId="0" xr:uid="{A5B15441-A028-41A8-BDCF-B96C1E8D9FEE}">
      <text>
        <r>
          <rPr>
            <b/>
            <sz val="8"/>
            <color indexed="81"/>
            <rFont val="Tahoma"/>
            <family val="2"/>
          </rPr>
          <t>Ray Beamesderfer:</t>
        </r>
        <r>
          <rPr>
            <sz val="8"/>
            <color indexed="81"/>
            <rFont val="Tahoma"/>
            <family val="2"/>
          </rPr>
          <t xml:space="preserve">
assuming current conversion rate including harvest is approximately 60% (synthesis of TAC &amp; hydro module nos.))</t>
        </r>
      </text>
    </comment>
    <comment ref="O49" authorId="0" shapeId="0" xr:uid="{57149E2F-189A-4039-BEB5-BC73B6295DC8}">
      <text>
        <r>
          <rPr>
            <b/>
            <sz val="8"/>
            <color indexed="81"/>
            <rFont val="Tahoma"/>
            <family val="2"/>
          </rPr>
          <t>Ray Beamesderfer:</t>
        </r>
        <r>
          <rPr>
            <sz val="8"/>
            <color indexed="81"/>
            <rFont val="Tahoma"/>
            <family val="2"/>
          </rPr>
          <t xml:space="preserve">
placeholder from CRITFC website</t>
        </r>
      </text>
    </comment>
    <comment ref="P49" authorId="0" shapeId="0" xr:uid="{D4AE63FD-811A-4FB2-A226-438B693F3B0C}">
      <text>
        <r>
          <rPr>
            <b/>
            <sz val="8"/>
            <color indexed="81"/>
            <rFont val="Tahoma"/>
            <family val="2"/>
          </rPr>
          <t>Ray Beamesderfer:</t>
        </r>
        <r>
          <rPr>
            <sz val="8"/>
            <color indexed="81"/>
            <rFont val="Tahoma"/>
            <family val="2"/>
          </rPr>
          <t xml:space="preserve">
assuming current conversion rate including harvest is approximately 60% (synthesis of TAC &amp; hydro module nos.))</t>
        </r>
      </text>
    </comment>
    <comment ref="Q49" authorId="0" shapeId="0" xr:uid="{06023021-4A64-48B1-83A4-EFCEDD62964A}">
      <text>
        <r>
          <rPr>
            <b/>
            <sz val="8"/>
            <color indexed="81"/>
            <rFont val="Tahoma"/>
            <family val="2"/>
          </rPr>
          <t>Ray Beamesderfer:</t>
        </r>
        <r>
          <rPr>
            <sz val="8"/>
            <color indexed="81"/>
            <rFont val="Tahoma"/>
            <family val="2"/>
          </rPr>
          <t xml:space="preserve">
assuming current conversion rate including harvest is approximately 60% (synthesis of TAC &amp; hydro module nos.))</t>
        </r>
      </text>
    </comment>
    <comment ref="R49" authorId="0" shapeId="0" xr:uid="{305C61A5-6188-4D34-98D6-355DDF7ECA00}">
      <text>
        <r>
          <rPr>
            <b/>
            <sz val="8"/>
            <color indexed="81"/>
            <rFont val="Tahoma"/>
            <family val="2"/>
          </rPr>
          <t>Ray Beamesderfer:</t>
        </r>
        <r>
          <rPr>
            <sz val="8"/>
            <color indexed="81"/>
            <rFont val="Tahoma"/>
            <family val="2"/>
          </rPr>
          <t xml:space="preserve">
assuming current conversion rate including harvest is approximately 60% (synthesis of TAC &amp; hydro module nos.))</t>
        </r>
      </text>
    </comment>
    <comment ref="M50" authorId="0" shapeId="0" xr:uid="{FE7687AA-083A-423B-88C5-978D1B353DE4}">
      <text>
        <r>
          <rPr>
            <b/>
            <sz val="8"/>
            <color indexed="81"/>
            <rFont val="Tahoma"/>
            <family val="2"/>
          </rPr>
          <t>Ray Beamesderfer:</t>
        </r>
        <r>
          <rPr>
            <sz val="8"/>
            <color indexed="81"/>
            <rFont val="Tahoma"/>
            <family val="2"/>
          </rPr>
          <t xml:space="preserve">
assuming current conversion rate including harvest is approximately 60% (synthesis of TAC &amp; hydro module nos.))</t>
        </r>
      </text>
    </comment>
    <comment ref="Q50" authorId="0" shapeId="0" xr:uid="{B5806C4C-2C46-4F40-BD1B-538F1190A2E9}">
      <text>
        <r>
          <rPr>
            <b/>
            <sz val="8"/>
            <color indexed="81"/>
            <rFont val="Tahoma"/>
            <family val="2"/>
          </rPr>
          <t>Ray Beamesderfer:</t>
        </r>
        <r>
          <rPr>
            <sz val="8"/>
            <color indexed="81"/>
            <rFont val="Tahoma"/>
            <family val="2"/>
          </rPr>
          <t xml:space="preserve">
assuming current conversion rate including harvest is approximately 60% (synthesis of TAC &amp; hydro module nos.))</t>
        </r>
      </text>
    </comment>
    <comment ref="R50" authorId="0" shapeId="0" xr:uid="{F4213378-3A0E-4D61-AFC7-2D9D04A1510F}">
      <text>
        <r>
          <rPr>
            <b/>
            <sz val="8"/>
            <color indexed="81"/>
            <rFont val="Tahoma"/>
            <family val="2"/>
          </rPr>
          <t>Ray Beamesderfer:</t>
        </r>
        <r>
          <rPr>
            <sz val="8"/>
            <color indexed="81"/>
            <rFont val="Tahoma"/>
            <family val="2"/>
          </rPr>
          <t xml:space="preserve">
assuming current conversion rate including harvest is approximately 60% (synthesis of TAC &amp; hydro module nos.))</t>
        </r>
      </text>
    </comment>
    <comment ref="E51" authorId="0" shapeId="0" xr:uid="{B972E6D9-C474-469A-BEF2-BB2CDBF5B35D}">
      <text>
        <r>
          <rPr>
            <b/>
            <sz val="8"/>
            <color indexed="81"/>
            <rFont val="Tahoma"/>
            <family val="2"/>
          </rPr>
          <t>Ray Beamesderfer:</t>
        </r>
        <r>
          <rPr>
            <sz val="8"/>
            <color indexed="81"/>
            <rFont val="Tahoma"/>
            <family val="2"/>
          </rPr>
          <t xml:space="preserve">
placeholder from CRITFC website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Ray Beamesderfer</author>
    <author>Bill Young</author>
  </authors>
  <commentList>
    <comment ref="P2" authorId="0" shapeId="0" xr:uid="{BAF79D57-CF19-41F2-916B-7E367E10313B}">
      <text>
        <r>
          <rPr>
            <b/>
            <sz val="8"/>
            <color indexed="81"/>
            <rFont val="Tahoma"/>
            <family val="2"/>
          </rPr>
          <t>Ray Beamesderfer:</t>
        </r>
        <r>
          <rPr>
            <sz val="8"/>
            <color indexed="81"/>
            <rFont val="Tahoma"/>
            <family val="2"/>
          </rPr>
          <t xml:space="preserve">
data from J Jording</t>
        </r>
      </text>
    </comment>
    <comment ref="T2" authorId="1" shapeId="0" xr:uid="{00B42314-25C3-4E16-A387-509C4D988CCA}">
      <text>
        <r>
          <rPr>
            <b/>
            <sz val="9"/>
            <color indexed="81"/>
            <rFont val="Tahoma"/>
            <family val="2"/>
          </rPr>
          <t>Bill Young:</t>
        </r>
        <r>
          <rPr>
            <sz val="9"/>
            <color indexed="81"/>
            <rFont val="Tahoma"/>
            <family val="2"/>
          </rPr>
          <t xml:space="preserve">
added run reconstruction estimates that differed from window counts from 2003 - 2016
</t>
        </r>
      </text>
    </comment>
    <comment ref="U4" authorId="0" shapeId="0" xr:uid="{3409A599-B659-4793-A8B6-46FF93276BFD}">
      <text>
        <r>
          <rPr>
            <b/>
            <sz val="8"/>
            <color indexed="81"/>
            <rFont val="Tahoma"/>
            <family val="2"/>
          </rPr>
          <t>Ray Beamesderfer:</t>
        </r>
        <r>
          <rPr>
            <sz val="8"/>
            <color indexed="81"/>
            <rFont val="Tahoma"/>
            <family val="2"/>
          </rPr>
          <t xml:space="preserve">
from NOAA SPS database (includes jacks)</t>
        </r>
      </text>
    </comment>
    <comment ref="V4" authorId="0" shapeId="0" xr:uid="{8E24B145-5B0C-4BBB-913B-3E2E34F9D427}">
      <text>
        <r>
          <rPr>
            <b/>
            <sz val="8"/>
            <color indexed="81"/>
            <rFont val="Tahoma"/>
            <family val="2"/>
          </rPr>
          <t>Ray Beamesderfer:</t>
        </r>
        <r>
          <rPr>
            <sz val="8"/>
            <color indexed="81"/>
            <rFont val="Tahoma"/>
            <family val="2"/>
          </rPr>
          <t xml:space="preserve">
from SPS?</t>
        </r>
      </text>
    </comment>
    <comment ref="U45" authorId="0" shapeId="0" xr:uid="{112AC031-6885-464C-BC39-417A084B0C4A}">
      <text>
        <r>
          <rPr>
            <b/>
            <sz val="8"/>
            <color indexed="81"/>
            <rFont val="Tahoma"/>
            <family val="2"/>
          </rPr>
          <t>Ray Beamesderfer:</t>
        </r>
        <r>
          <rPr>
            <sz val="8"/>
            <color indexed="81"/>
            <rFont val="Tahoma"/>
            <family val="2"/>
          </rPr>
          <t xml:space="preserve">
lower granite count from CRITFC web page</t>
        </r>
      </text>
    </comment>
    <comment ref="X45" authorId="0" shapeId="0" xr:uid="{79CE8AC9-CE3F-4247-B9E7-B8BE4C9CBD68}">
      <text>
        <r>
          <rPr>
            <b/>
            <sz val="8"/>
            <color indexed="81"/>
            <rFont val="Tahoma"/>
            <family val="2"/>
          </rPr>
          <t>Ray Beamesderfer:</t>
        </r>
        <r>
          <rPr>
            <sz val="8"/>
            <color indexed="81"/>
            <rFont val="Tahoma"/>
            <family val="2"/>
          </rPr>
          <t xml:space="preserve">
lower granite count from CRITFC web page</t>
        </r>
      </text>
    </comment>
    <comment ref="Y45" authorId="0" shapeId="0" xr:uid="{C22F91A7-2A2C-46BE-BD46-B8D7A762C8E5}">
      <text>
        <r>
          <rPr>
            <b/>
            <sz val="8"/>
            <color indexed="81"/>
            <rFont val="Tahoma"/>
            <family val="2"/>
          </rPr>
          <t>Ray Beamesderfer:</t>
        </r>
        <r>
          <rPr>
            <sz val="8"/>
            <color indexed="81"/>
            <rFont val="Tahoma"/>
            <family val="2"/>
          </rPr>
          <t xml:space="preserve">
lower granite count from CRITFC web page</t>
        </r>
      </text>
    </comment>
    <comment ref="AR56" authorId="1" shapeId="0" xr:uid="{F5C89D3E-0243-4E04-BFC6-38AEFEFA770F}">
      <text>
        <r>
          <rPr>
            <b/>
            <sz val="9"/>
            <color indexed="81"/>
            <rFont val="Tahoma"/>
            <family val="2"/>
          </rPr>
          <t>Bill Young:</t>
        </r>
        <r>
          <rPr>
            <sz val="9"/>
            <color indexed="81"/>
            <rFont val="Tahoma"/>
            <family val="2"/>
          </rPr>
          <t xml:space="preserve">
assumed no tribal harvest of jacks or NPTH volunteer jacks
</t>
        </r>
      </text>
    </comment>
    <comment ref="AP66" authorId="1" shapeId="0" xr:uid="{4606FD33-83AD-4523-9785-095F11E979E9}">
      <text>
        <r>
          <rPr>
            <b/>
            <sz val="9"/>
            <color rgb="FF000000"/>
            <rFont val="Tahoma"/>
            <family val="2"/>
          </rPr>
          <t>Bill Young:</t>
        </r>
        <r>
          <rPr>
            <sz val="9"/>
            <color rgb="FF000000"/>
            <rFont val="Tahoma"/>
            <family val="2"/>
          </rPr>
          <t xml:space="preserve">
haul to Texas rapid ID by 1L OP</t>
        </r>
      </text>
    </comment>
    <comment ref="AP73" authorId="1" shapeId="0" xr:uid="{7126333C-CBCE-4F73-887A-31C9BB9042E2}">
      <text>
        <r>
          <rPr>
            <b/>
            <sz val="9"/>
            <color rgb="FF000000"/>
            <rFont val="Tahoma"/>
            <family val="2"/>
          </rPr>
          <t>Bill Young:</t>
        </r>
        <r>
          <rPr>
            <sz val="9"/>
            <color rgb="FF000000"/>
            <rFont val="Tahoma"/>
            <family val="2"/>
          </rPr>
          <t xml:space="preserve">
6 marked/5 unmarked</t>
        </r>
      </text>
    </comment>
    <comment ref="AP75" authorId="1" shapeId="0" xr:uid="{3DF69A55-F771-432F-BA4E-D30C18E81D2B}">
      <text>
        <r>
          <rPr>
            <b/>
            <sz val="9"/>
            <color rgb="FF000000"/>
            <rFont val="Tahoma"/>
            <family val="2"/>
          </rPr>
          <t>Bill Young:</t>
        </r>
        <r>
          <rPr>
            <sz val="9"/>
            <color rgb="FF000000"/>
            <rFont val="Tahoma"/>
            <family val="2"/>
          </rPr>
          <t xml:space="preserve">
4 marked/11 unmarked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Ray Beamesderfer</author>
  </authors>
  <commentList>
    <comment ref="D44" authorId="0" shapeId="0" xr:uid="{C73AD4B7-C1B4-4B0E-8645-CF43CF50AB90}">
      <text>
        <r>
          <rPr>
            <b/>
            <sz val="8"/>
            <color indexed="81"/>
            <rFont val="Tahoma"/>
            <family val="2"/>
          </rPr>
          <t>Ray Beamesderfer:</t>
        </r>
        <r>
          <rPr>
            <sz val="8"/>
            <color indexed="81"/>
            <rFont val="Tahoma"/>
            <family val="2"/>
          </rPr>
          <t xml:space="preserve">
2007-2016 mean natural return</t>
        </r>
      </text>
    </comment>
  </commentList>
</comments>
</file>

<file path=xl/sharedStrings.xml><?xml version="1.0" encoding="utf-8"?>
<sst xmlns="http://schemas.openxmlformats.org/spreadsheetml/2006/main" count="1548" uniqueCount="615">
  <si>
    <t>Predation</t>
  </si>
  <si>
    <t>Ocean</t>
  </si>
  <si>
    <t>Hydro</t>
  </si>
  <si>
    <t>Fish</t>
  </si>
  <si>
    <t>Reintroduction</t>
  </si>
  <si>
    <t>Harvest</t>
  </si>
  <si>
    <t>Data on terns, cormorants, gulls, pikeminnow, bass, and walleye</t>
  </si>
  <si>
    <t>Water temp data and “current flows”</t>
  </si>
  <si>
    <t>Configuration changes</t>
  </si>
  <si>
    <t>CRSO Modeling of SARS related to removal of Snake River Dams</t>
  </si>
  <si>
    <t>status of natural populations related to MAT.</t>
  </si>
  <si>
    <t>Presentation by USRT on HCC Fisheries Resource Management Plan</t>
  </si>
  <si>
    <t>US v OR and any other agreements that guide/mandate fish allocation discussions.</t>
  </si>
  <si>
    <t>Category</t>
  </si>
  <si>
    <t>Request</t>
  </si>
  <si>
    <t>Tour</t>
  </si>
  <si>
    <t>View Sho-Ban fish restoration efforts</t>
  </si>
  <si>
    <t>Process</t>
  </si>
  <si>
    <t xml:space="preserve">Longert Format presentations, panels, or workshops focused on specific topics will be nedessary to make informed decisions. </t>
  </si>
  <si>
    <t>All the latest research-last 3-5- years about lifecycles of pacific northwest salmon populatios.</t>
  </si>
  <si>
    <t>All the latest research about xxx and efforts to enhance xxx salmon populations.</t>
  </si>
  <si>
    <t>Habitat</t>
  </si>
  <si>
    <t>State habitat work projects -&gt; measure of success</t>
  </si>
  <si>
    <t>Discussion of contraints on hydro w/in Idaho.</t>
  </si>
  <si>
    <t>Predation in Idaho.</t>
  </si>
  <si>
    <t>Input of the Port of Lewiston Economics</t>
  </si>
  <si>
    <t>Hatcheries</t>
  </si>
  <si>
    <t>Opportunities w/ hatcheries -&gt; Tribal, State.</t>
  </si>
  <si>
    <t>From (to) IDFG: What is the impact to wild fish from straying hatchery stocks.</t>
  </si>
  <si>
    <t>What impact do the (Idaho) Fish Accords have on our discussion.  Does the agrement restrict in any way the product of this workgroup?</t>
  </si>
  <si>
    <t>IDFG: Presentation of Idaho stock abundance current and MAF (MAT) and 4 (x) MAF (MAT)</t>
  </si>
  <si>
    <t>Flow Augmenttation (presentation)</t>
  </si>
  <si>
    <t>HCC- Operations</t>
  </si>
  <si>
    <t>Visit Lewiston: North of South Fork (Clearwater River)and Port of Lewiston</t>
  </si>
  <si>
    <t>Visit Salmon: Picnic at Merrill's place and advertise in paper</t>
  </si>
  <si>
    <t>Snake River Steelhead</t>
  </si>
  <si>
    <t>ESA: Threatened</t>
  </si>
  <si>
    <t>Life History: Summer run, Stream-type rearing</t>
  </si>
  <si>
    <t>Run Summary (10-yr avg. adults)</t>
  </si>
  <si>
    <t>Total</t>
  </si>
  <si>
    <t>Wild/Natl</t>
  </si>
  <si>
    <t>Hatchery</t>
  </si>
  <si>
    <t>% Hatchery</t>
  </si>
  <si>
    <t>@ Columbia R Mouth</t>
  </si>
  <si>
    <t>To Snake R (L. Granite Dam)</t>
  </si>
  <si>
    <t>Local return (tributary entry)</t>
  </si>
  <si>
    <t>Escapement ("spawners")</t>
  </si>
  <si>
    <t>Totals</t>
  </si>
  <si>
    <t>Smolts</t>
  </si>
  <si>
    <t>Natural Production</t>
  </si>
  <si>
    <t>Abundance</t>
  </si>
  <si>
    <t>Potential Goal Range</t>
  </si>
  <si>
    <t>Artificial Production</t>
  </si>
  <si>
    <t>Current Production</t>
  </si>
  <si>
    <t>Return</t>
  </si>
  <si>
    <t>Future</t>
  </si>
  <si>
    <t>MPG</t>
  </si>
  <si>
    <t>Population</t>
  </si>
  <si>
    <t>Recent</t>
  </si>
  <si>
    <t>Historical</t>
  </si>
  <si>
    <t>Low</t>
  </si>
  <si>
    <t>Med</t>
  </si>
  <si>
    <t>High</t>
  </si>
  <si>
    <t>Location (Program)</t>
  </si>
  <si>
    <t>Type</t>
  </si>
  <si>
    <t>Brood</t>
  </si>
  <si>
    <t>Other</t>
  </si>
  <si>
    <t>Current</t>
  </si>
  <si>
    <t>Goal</t>
  </si>
  <si>
    <t>production</t>
  </si>
  <si>
    <t>Lower Snake</t>
  </si>
  <si>
    <t>Asotin Creek</t>
  </si>
  <si>
    <t>?</t>
  </si>
  <si>
    <t>Tucannon</t>
  </si>
  <si>
    <t>A</t>
  </si>
  <si>
    <t>Tucannon River</t>
  </si>
  <si>
    <t>Lyons Ferry/Irrigon/Wallowa</t>
  </si>
  <si>
    <t>Clearwater</t>
  </si>
  <si>
    <t>Lower Mainstem</t>
  </si>
  <si>
    <t>Irrigon-Imnaha</t>
  </si>
  <si>
    <t>Lochsa River</t>
  </si>
  <si>
    <t>Dworshak</t>
  </si>
  <si>
    <t>B</t>
  </si>
  <si>
    <t>Lolo Creek</t>
  </si>
  <si>
    <t>North Fork</t>
  </si>
  <si>
    <t>--</t>
  </si>
  <si>
    <t>Hagerman</t>
  </si>
  <si>
    <t>Selway River</t>
  </si>
  <si>
    <t>Magic Valley</t>
  </si>
  <si>
    <t>South Fork</t>
  </si>
  <si>
    <t>Niagara Spr.</t>
  </si>
  <si>
    <t>Grande Ronde</t>
  </si>
  <si>
    <t>Sawtooth/Pahsimeroi</t>
  </si>
  <si>
    <t>A/B</t>
  </si>
  <si>
    <t>Upper Mainstem</t>
  </si>
  <si>
    <t>Subtotal</t>
  </si>
  <si>
    <t>Joseph Creek</t>
  </si>
  <si>
    <t>Note: Return goal of 60,264 = sum of LSRCP, ACOE and IPC goals</t>
  </si>
  <si>
    <t>Wallowa River</t>
  </si>
  <si>
    <t>Imnaha</t>
  </si>
  <si>
    <t>Imnaha River</t>
  </si>
  <si>
    <t>Fisheries / Harvest</t>
  </si>
  <si>
    <t>Exploitation rate</t>
  </si>
  <si>
    <t>Salmon</t>
  </si>
  <si>
    <t>Chamberlain Creek</t>
  </si>
  <si>
    <t>Location</t>
  </si>
  <si>
    <t>A-run avg</t>
  </si>
  <si>
    <t>B run avg</t>
  </si>
  <si>
    <t>10 yr avg</t>
  </si>
  <si>
    <t>East Fork Salmon River</t>
  </si>
  <si>
    <t>Wild/Natural</t>
  </si>
  <si>
    <t>Lemhi River</t>
  </si>
  <si>
    <t>Mainstem Non-treaty</t>
  </si>
  <si>
    <t>15-22%</t>
  </si>
  <si>
    <t>15-30%</t>
  </si>
  <si>
    <t>TBD</t>
  </si>
  <si>
    <t>Little Salmon River</t>
  </si>
  <si>
    <t>Mainstem Treaty</t>
  </si>
  <si>
    <t>Middle Fork Lower Mainstem</t>
  </si>
  <si>
    <t>Terminal</t>
  </si>
  <si>
    <t>Middle Fork Upper Mainstem</t>
  </si>
  <si>
    <t>Pahsimeroi River</t>
  </si>
  <si>
    <t>~50%</t>
  </si>
  <si>
    <t>Panther Creek</t>
  </si>
  <si>
    <t>Secesh River</t>
  </si>
  <si>
    <t>Total Return</t>
  </si>
  <si>
    <t>Current 10-yr avg</t>
  </si>
  <si>
    <t>@ Goals</t>
  </si>
  <si>
    <t>Hells Canyon</t>
  </si>
  <si>
    <t>Burnt River</t>
  </si>
  <si>
    <t>A-run</t>
  </si>
  <si>
    <t>B-run</t>
  </si>
  <si>
    <t>Powder River</t>
  </si>
  <si>
    <t>Weiser River</t>
  </si>
  <si>
    <t>Payette Boise</t>
  </si>
  <si>
    <t>Boise River</t>
  </si>
  <si>
    <t>% hatchery</t>
  </si>
  <si>
    <t>Lower Payette River</t>
  </si>
  <si>
    <t>To Snake (L Granite)</t>
  </si>
  <si>
    <t>North Fork Payette River</t>
  </si>
  <si>
    <t>South Fork Payette River</t>
  </si>
  <si>
    <t>Malheur Owyhee</t>
  </si>
  <si>
    <t>Lower Malheur River</t>
  </si>
  <si>
    <t>Lower Owyhee River</t>
  </si>
  <si>
    <t>Upper Malheur River</t>
  </si>
  <si>
    <t>Upper Owyhee River</t>
  </si>
  <si>
    <t>Bruneau Salmon Falls</t>
  </si>
  <si>
    <t>Bruneau River</t>
  </si>
  <si>
    <t>Canyon Creek</t>
  </si>
  <si>
    <t>Harvest (total)</t>
  </si>
  <si>
    <t>Salmon Falls/Rock Creeks</t>
  </si>
  <si>
    <r>
      <t>Table 7. Returns of upriver summer steelhead to Lower Granite Dam, 1991-2016.</t>
    </r>
    <r>
      <rPr>
        <i/>
        <vertAlign val="superscript"/>
        <sz val="12"/>
        <color rgb="FF000000"/>
        <rFont val="Times New Roman"/>
        <family val="1"/>
      </rPr>
      <t>1,2</t>
    </r>
    <r>
      <rPr>
        <i/>
        <sz val="8"/>
        <color rgb="FF000000"/>
        <rFont val="Times New Roman"/>
        <family val="1"/>
      </rPr>
      <t xml:space="preserve"> </t>
    </r>
  </si>
  <si>
    <r>
      <t>Table 19. Fall season summer steelhead harvest and incidental release mortalities in mainstem Columbia River non-treaty fisheries, 1999-2016.</t>
    </r>
    <r>
      <rPr>
        <i/>
        <vertAlign val="superscript"/>
        <sz val="12"/>
        <color rgb="FF000000"/>
        <rFont val="Times New Roman"/>
        <family val="1"/>
      </rPr>
      <t>1</t>
    </r>
    <r>
      <rPr>
        <i/>
        <sz val="8"/>
        <color rgb="FF000000"/>
        <rFont val="Times New Roman"/>
        <family val="1"/>
      </rPr>
      <t xml:space="preserve"> </t>
    </r>
  </si>
  <si>
    <t xml:space="preserve">Table 33. Fall season treaty impact rates on wild and total B-Index (since 2008) upriver summer steelhead, 1999-2016.1 </t>
  </si>
  <si>
    <t>Table 6. Returns of upriver summer steelhead to Bonneville Dam (April- October), 1984-2016.</t>
  </si>
  <si>
    <r>
      <t>Run Year</t>
    </r>
    <r>
      <rPr>
        <vertAlign val="superscript"/>
        <sz val="10"/>
        <color rgb="FF000000"/>
        <rFont val="Times New Roman"/>
        <family val="1"/>
      </rPr>
      <t>3</t>
    </r>
    <r>
      <rPr>
        <sz val="6.5"/>
        <color rgb="FF000000"/>
        <rFont val="Times New Roman"/>
        <family val="1"/>
      </rPr>
      <t xml:space="preserve"> </t>
    </r>
  </si>
  <si>
    <t>Group A</t>
  </si>
  <si>
    <t>Group B</t>
  </si>
  <si>
    <t>Wild</t>
  </si>
  <si>
    <t>rtn</t>
  </si>
  <si>
    <t>Year</t>
  </si>
  <si>
    <t>Commercial Below BON 2</t>
  </si>
  <si>
    <t>Recreational Below BON</t>
  </si>
  <si>
    <t>Recreational BON - Hwy 395</t>
  </si>
  <si>
    <t>Dip-Ins 3</t>
  </si>
  <si>
    <t xml:space="preserve"> </t>
  </si>
  <si>
    <t>Total Fall Season</t>
  </si>
  <si>
    <t>year</t>
  </si>
  <si>
    <t>Released Clipped Hatchery</t>
  </si>
  <si>
    <t>Released</t>
  </si>
  <si>
    <t>Kept Clipped</t>
  </si>
  <si>
    <t>Kept Clipped Released</t>
  </si>
  <si>
    <t>Clipped Hatchery</t>
  </si>
  <si>
    <t>Unclipped</t>
  </si>
  <si>
    <t>Skamania Index</t>
  </si>
  <si>
    <t>A-Index</t>
  </si>
  <si>
    <t>B-Index</t>
  </si>
  <si>
    <t>Total Passage</t>
  </si>
  <si>
    <t>Clipped</t>
  </si>
  <si>
    <t>Hatchery Unclipped</t>
  </si>
  <si>
    <t>Wild Summer Steelhead</t>
  </si>
  <si>
    <t>Actual Impacts</t>
  </si>
  <si>
    <t>Impacts Allowed</t>
  </si>
  <si>
    <t>Actual Wild Impacts</t>
  </si>
  <si>
    <t>Total B</t>
  </si>
  <si>
    <t>B-Index allowed</t>
  </si>
  <si>
    <t>Unclipped Hatchery</t>
  </si>
  <si>
    <t>total</t>
  </si>
  <si>
    <t>A-Index B-Index</t>
  </si>
  <si>
    <t>Hatchery Wild</t>
  </si>
  <si>
    <t>1991-92</t>
  </si>
  <si>
    <t>-</t>
  </si>
  <si>
    <t>1992-93</t>
  </si>
  <si>
    <t>1993-94</t>
  </si>
  <si>
    <t>1994-95</t>
  </si>
  <si>
    <t>1995-96</t>
  </si>
  <si>
    <t>1996-97</t>
  </si>
  <si>
    <t>1997-98</t>
  </si>
  <si>
    <t>1998-99</t>
  </si>
  <si>
    <t>1999-00</t>
  </si>
  <si>
    <t>2000-01</t>
  </si>
  <si>
    <t>NA</t>
  </si>
  <si>
    <t>2001-02</t>
  </si>
  <si>
    <t>2002-03</t>
  </si>
  <si>
    <t>2003-04</t>
  </si>
  <si>
    <t>2004-05</t>
  </si>
  <si>
    <t>2005-06</t>
  </si>
  <si>
    <t>2006-07</t>
  </si>
  <si>
    <t>2007-08</t>
  </si>
  <si>
    <t>2008-09</t>
  </si>
  <si>
    <t>2009-10</t>
  </si>
  <si>
    <t>5-yr Ave</t>
  </si>
  <si>
    <t>2010-11</t>
  </si>
  <si>
    <t>10-yr Ave</t>
  </si>
  <si>
    <t>2011-12</t>
  </si>
  <si>
    <t>2012-13</t>
  </si>
  <si>
    <t>2013-14</t>
  </si>
  <si>
    <t>2014-15</t>
  </si>
  <si>
    <t>2015-16</t>
  </si>
  <si>
    <t xml:space="preserve"> CR Non Treaty</t>
  </si>
  <si>
    <t>CR Treaty</t>
  </si>
  <si>
    <r>
      <t xml:space="preserve">2016-17 </t>
    </r>
    <r>
      <rPr>
        <sz val="6.5"/>
        <color rgb="FF000000"/>
        <rFont val="Times New Roman"/>
        <family val="1"/>
      </rPr>
      <t>4</t>
    </r>
  </si>
  <si>
    <t>A-index</t>
  </si>
  <si>
    <t>B-index</t>
  </si>
  <si>
    <t>Snake River Spring/Summer Chinook</t>
  </si>
  <si>
    <t>Life History: Spring/Summer run, Stream-type rearing</t>
  </si>
  <si>
    <t>To Snake R (LGO?)</t>
  </si>
  <si>
    <t>Harvest (Col mainstem)</t>
  </si>
  <si>
    <t>Total (smolts)</t>
  </si>
  <si>
    <t>1950s</t>
  </si>
  <si>
    <t>1800s</t>
  </si>
  <si>
    <t>Release</t>
  </si>
  <si>
    <t>L. Snake</t>
  </si>
  <si>
    <t>Tucannon (ext)</t>
  </si>
  <si>
    <t>McCall Hatchery</t>
  </si>
  <si>
    <t>Johnson Cr</t>
  </si>
  <si>
    <t>Summer</t>
  </si>
  <si>
    <t>Asotin (ext)</t>
  </si>
  <si>
    <t>S Fk Salmon</t>
  </si>
  <si>
    <t>Dry Clearwater</t>
  </si>
  <si>
    <t>Potlatch (ext)</t>
  </si>
  <si>
    <t>Curtis/Cabin Cr.</t>
  </si>
  <si>
    <t>Lapwai/Big Canyon (ext)</t>
  </si>
  <si>
    <t>Pahsimeroi Hatchery</t>
  </si>
  <si>
    <t>Pahsimeroi</t>
  </si>
  <si>
    <t>Lawyer (ext)</t>
  </si>
  <si>
    <t>Panther Cr</t>
  </si>
  <si>
    <t>Upper South Fork (ext)</t>
  </si>
  <si>
    <t>Carson NFH</t>
  </si>
  <si>
    <t>Walla Walla</t>
  </si>
  <si>
    <t>Spring</t>
  </si>
  <si>
    <t>Wet Clearwater</t>
  </si>
  <si>
    <t>N Fk Lower mainstem (ext)</t>
  </si>
  <si>
    <t>Tucannon/Lyons Ferry</t>
  </si>
  <si>
    <t>N Fk Upper mainstem (ext)</t>
  </si>
  <si>
    <t>Asotin Cr</t>
  </si>
  <si>
    <t>Lolo (ext)</t>
  </si>
  <si>
    <t>Lookingglass Hatchery</t>
  </si>
  <si>
    <t>Catherine Cr</t>
  </si>
  <si>
    <t>Lochsa (ext)</t>
  </si>
  <si>
    <t>U Grande Ronde</t>
  </si>
  <si>
    <t>Meadow (ext)</t>
  </si>
  <si>
    <t xml:space="preserve">Lostine </t>
  </si>
  <si>
    <t>Moose (ext)</t>
  </si>
  <si>
    <t>lookingglass Cr</t>
  </si>
  <si>
    <t>Upper Selway (ext)</t>
  </si>
  <si>
    <t>Grande Ronde / Imnaha</t>
  </si>
  <si>
    <t>Wenaha</t>
  </si>
  <si>
    <t>Rapid River Hatchery</t>
  </si>
  <si>
    <t>Rapid</t>
  </si>
  <si>
    <t>Minam</t>
  </si>
  <si>
    <t>Little Salmon</t>
  </si>
  <si>
    <t>Catherine</t>
  </si>
  <si>
    <t>Hells Cyn Snake R</t>
  </si>
  <si>
    <t>Lookingglass (ext)</t>
  </si>
  <si>
    <t>Sawtooth Hatchery</t>
  </si>
  <si>
    <t>Salmon R</t>
  </si>
  <si>
    <t>Lostine/Wallowa</t>
  </si>
  <si>
    <t>Crystal Spr/Sawtooth</t>
  </si>
  <si>
    <t>Yankee Fork Salmon</t>
  </si>
  <si>
    <t>Nez Perce Tribal Hatchery</t>
  </si>
  <si>
    <t>Meadow (Selway)</t>
  </si>
  <si>
    <t>Lolo Cr</t>
  </si>
  <si>
    <t>Big Sheep (ext)</t>
  </si>
  <si>
    <t>Newsome Cr</t>
  </si>
  <si>
    <t>South Fork Salmon</t>
  </si>
  <si>
    <t>NPTH / Dworshak NFH</t>
  </si>
  <si>
    <t>Clearwater R</t>
  </si>
  <si>
    <t>Secesh</t>
  </si>
  <si>
    <t>Dworshak NFH</t>
  </si>
  <si>
    <t>U Selway R</t>
  </si>
  <si>
    <t>NF Clearwater R</t>
  </si>
  <si>
    <t>East Fork South Fork</t>
  </si>
  <si>
    <t>Kooskia Hatchery</t>
  </si>
  <si>
    <t>Clear Cr</t>
  </si>
  <si>
    <t>Middle Fork Salmon</t>
  </si>
  <si>
    <t>Chamberlain</t>
  </si>
  <si>
    <t>Clearwater Hatchery</t>
  </si>
  <si>
    <t>Other locations</t>
  </si>
  <si>
    <t>Big</t>
  </si>
  <si>
    <t>Lower Middle Fork</t>
  </si>
  <si>
    <t>Red River</t>
  </si>
  <si>
    <t>Camas</t>
  </si>
  <si>
    <t>Loon</t>
  </si>
  <si>
    <t>Upper Middle Fork Salmon</t>
  </si>
  <si>
    <t>Sulphur</t>
  </si>
  <si>
    <t>Avg.</t>
  </si>
  <si>
    <t>Bear Valley</t>
  </si>
  <si>
    <t>Marsh</t>
  </si>
  <si>
    <t>5.5-17%</t>
  </si>
  <si>
    <t>Upper Salmon</t>
  </si>
  <si>
    <t>North Fork Salmon</t>
  </si>
  <si>
    <t>Lemhi</t>
  </si>
  <si>
    <t>Lower Mainstem Salmon</t>
  </si>
  <si>
    <t>East Fork Salmon</t>
  </si>
  <si>
    <t>Yankee Fork Salmon River</t>
  </si>
  <si>
    <t>Valley</t>
  </si>
  <si>
    <t>Upper Mainstem Salmon</t>
  </si>
  <si>
    <t>Panther (ext)</t>
  </si>
  <si>
    <t>@ goals</t>
  </si>
  <si>
    <t>Middle Snake</t>
  </si>
  <si>
    <t>Crane Creek/Lower Weiser River</t>
  </si>
  <si>
    <t>Eagle Creek</t>
  </si>
  <si>
    <t>Little Weiser River</t>
  </si>
  <si>
    <t>Pine Creek</t>
  </si>
  <si>
    <t>To Snake (LGR)</t>
  </si>
  <si>
    <t>Upper Weiser River</t>
  </si>
  <si>
    <t>Wildhorse Creek</t>
  </si>
  <si>
    <t>Malheur</t>
  </si>
  <si>
    <t>North Fork Malheur</t>
  </si>
  <si>
    <t>Upper Malheur</t>
  </si>
  <si>
    <t>Willow Creek/Lower Malheur River</t>
  </si>
  <si>
    <t>Payette / Boise</t>
  </si>
  <si>
    <t>Big/Little Willow</t>
  </si>
  <si>
    <t>Boise</t>
  </si>
  <si>
    <t>North Fork Payette</t>
  </si>
  <si>
    <t>Harvest (Freshwater total)</t>
  </si>
  <si>
    <t>South Fork Payette</t>
  </si>
  <si>
    <t>Squaw Cr.</t>
  </si>
  <si>
    <t>Owyhee</t>
  </si>
  <si>
    <t>Little Owyhee</t>
  </si>
  <si>
    <t>Lower Owyhee</t>
  </si>
  <si>
    <t>South Fork Owyhee</t>
  </si>
  <si>
    <t>Upper Owyhee</t>
  </si>
  <si>
    <t>Upper Snake</t>
  </si>
  <si>
    <t>Canyon Cr</t>
  </si>
  <si>
    <t>Lower Bruneau</t>
  </si>
  <si>
    <t>Rock Cr</t>
  </si>
  <si>
    <t>Salmon Falls Cr</t>
  </si>
  <si>
    <t>Upper Bruneau</t>
  </si>
  <si>
    <t>Table 7. Estimated numbers of adult upriver spring Chinook entering the Columbia River 1980-2016.</t>
  </si>
  <si>
    <t>Upriver</t>
  </si>
  <si>
    <t>Harvest Impact Downstream of Bonneville Dam (Zones 1–5)</t>
  </si>
  <si>
    <t>Bonneville Dam Count</t>
  </si>
  <si>
    <t>Harvest Impact Bonneville Dam upstream to McNary Dam (Zone</t>
  </si>
  <si>
    <t>Escapement</t>
  </si>
  <si>
    <t>These are approximate</t>
  </si>
  <si>
    <r>
      <t>Run</t>
    </r>
    <r>
      <rPr>
        <i/>
        <vertAlign val="superscript"/>
        <sz val="11"/>
        <color rgb="FF000000"/>
        <rFont val="Times New Roman"/>
        <family val="1"/>
      </rPr>
      <t>3</t>
    </r>
    <r>
      <rPr>
        <i/>
        <sz val="11"/>
        <color rgb="FF000000"/>
        <rFont val="Times New Roman"/>
        <family val="1"/>
      </rPr>
      <t xml:space="preserve"> </t>
    </r>
  </si>
  <si>
    <t>6)</t>
  </si>
  <si>
    <r>
      <t>Total</t>
    </r>
    <r>
      <rPr>
        <i/>
        <vertAlign val="superscript"/>
        <sz val="11"/>
        <color rgb="FF000000"/>
        <rFont val="Times New Roman"/>
        <family val="1"/>
      </rPr>
      <t>5</t>
    </r>
    <r>
      <rPr>
        <sz val="11"/>
        <color rgb="FF000000"/>
        <rFont val="Times New Roman"/>
        <family val="1"/>
      </rPr>
      <t xml:space="preserve"> %Run</t>
    </r>
  </si>
  <si>
    <t>Return to</t>
  </si>
  <si>
    <t>Non-Treaty</t>
  </si>
  <si>
    <t>Treaty</t>
  </si>
  <si>
    <t>approx</t>
  </si>
  <si>
    <t>Hatch &amp; wild combined)</t>
  </si>
  <si>
    <t>Comm.</t>
  </si>
  <si>
    <r>
      <t>Non-Treaty Catch</t>
    </r>
    <r>
      <rPr>
        <i/>
        <vertAlign val="superscript"/>
        <sz val="11"/>
        <color rgb="FF000000"/>
        <rFont val="Times New Roman"/>
        <family val="1"/>
      </rPr>
      <t>1</t>
    </r>
    <r>
      <rPr>
        <i/>
        <sz val="11"/>
        <color rgb="FF000000"/>
        <rFont val="Times New Roman"/>
        <family val="1"/>
      </rPr>
      <t xml:space="preserve"> </t>
    </r>
    <r>
      <rPr>
        <sz val="11"/>
        <color rgb="FF000000"/>
        <rFont val="Times New Roman"/>
        <family val="1"/>
      </rPr>
      <t>Sport</t>
    </r>
  </si>
  <si>
    <r>
      <t>Misc.</t>
    </r>
    <r>
      <rPr>
        <i/>
        <vertAlign val="superscript"/>
        <sz val="11"/>
        <color rgb="FF000000"/>
        <rFont val="Times New Roman"/>
        <family val="1"/>
      </rPr>
      <t>4</t>
    </r>
    <r>
      <rPr>
        <i/>
        <sz val="11"/>
        <color rgb="FF000000"/>
        <rFont val="Times New Roman"/>
        <family val="1"/>
      </rPr>
      <t xml:space="preserve"> </t>
    </r>
  </si>
  <si>
    <t>Grand Total</t>
  </si>
  <si>
    <r>
      <t>Treaty Catch</t>
    </r>
    <r>
      <rPr>
        <i/>
        <vertAlign val="superscript"/>
        <sz val="11"/>
        <color rgb="FF000000"/>
        <rFont val="Times New Roman"/>
        <family val="1"/>
      </rPr>
      <t>2</t>
    </r>
    <r>
      <rPr>
        <i/>
        <sz val="11"/>
        <color rgb="FF000000"/>
        <rFont val="Times New Roman"/>
        <family val="1"/>
      </rPr>
      <t xml:space="preserve"> </t>
    </r>
  </si>
  <si>
    <t>Zone 6</t>
  </si>
  <si>
    <t>Hatch &amp; wild</t>
  </si>
  <si>
    <t>Columbia River</t>
  </si>
  <si>
    <r>
      <t>Wild Catch</t>
    </r>
    <r>
      <rPr>
        <vertAlign val="superscript"/>
        <sz val="11"/>
        <color rgb="FF000000"/>
        <rFont val="Times New Roman"/>
        <family val="1"/>
      </rPr>
      <t>1</t>
    </r>
    <r>
      <rPr>
        <sz val="11"/>
        <color rgb="FF000000"/>
        <rFont val="Times New Roman"/>
        <family val="1"/>
      </rPr>
      <t xml:space="preserve"> </t>
    </r>
  </si>
  <si>
    <r>
      <t>Wild Catch</t>
    </r>
    <r>
      <rPr>
        <vertAlign val="superscript"/>
        <sz val="11"/>
        <color rgb="FF000000"/>
        <rFont val="Times New Roman"/>
        <family val="1"/>
      </rPr>
      <t>2</t>
    </r>
    <r>
      <rPr>
        <sz val="11"/>
        <color rgb="FF000000"/>
        <rFont val="Times New Roman"/>
        <family val="1"/>
      </rPr>
      <t xml:space="preserve"> </t>
    </r>
  </si>
  <si>
    <t>Wild Catch</t>
  </si>
  <si>
    <r>
      <t>Passage Loss</t>
    </r>
    <r>
      <rPr>
        <vertAlign val="superscript"/>
        <sz val="11"/>
        <color rgb="FF000000"/>
        <rFont val="Times New Roman"/>
        <family val="1"/>
      </rPr>
      <t>3</t>
    </r>
    <r>
      <rPr>
        <sz val="11"/>
        <color rgb="FF000000"/>
        <rFont val="Times New Roman"/>
        <family val="1"/>
      </rPr>
      <t xml:space="preserve"> </t>
    </r>
  </si>
  <si>
    <r>
      <t>Escapement</t>
    </r>
    <r>
      <rPr>
        <vertAlign val="superscript"/>
        <sz val="11"/>
        <color rgb="FF000000"/>
        <rFont val="Times New Roman"/>
        <family val="1"/>
      </rPr>
      <t>4</t>
    </r>
    <r>
      <rPr>
        <sz val="11"/>
        <color rgb="FF000000"/>
        <rFont val="Times New Roman"/>
        <family val="1"/>
      </rPr>
      <t xml:space="preserve"> </t>
    </r>
  </si>
  <si>
    <t>CR-LGR</t>
  </si>
  <si>
    <t>Harvest (hatchery)</t>
  </si>
  <si>
    <t>Exploitation rate - hatchery only)</t>
  </si>
  <si>
    <t>Non-treaty Sport</t>
  </si>
  <si>
    <t>Winter Gillnet</t>
  </si>
  <si>
    <t>C&amp;S</t>
  </si>
  <si>
    <t>Hatch</t>
  </si>
  <si>
    <t>No.</t>
  </si>
  <si>
    <t>% of Run</t>
  </si>
  <si>
    <t>conversion</t>
  </si>
  <si>
    <t>Non-treaty Comm</t>
  </si>
  <si>
    <t>NT comm</t>
  </si>
  <si>
    <t>NT spt</t>
  </si>
  <si>
    <t>NT</t>
  </si>
  <si>
    <t>Tr</t>
  </si>
  <si>
    <t>Gillnet</t>
  </si>
  <si>
    <t>&amp; Platform</t>
  </si>
  <si>
    <t>Conv</t>
  </si>
  <si>
    <t>80–84</t>
  </si>
  <si>
    <t>85–89</t>
  </si>
  <si>
    <t>90–94</t>
  </si>
  <si>
    <t>Snake River Fall Chinook</t>
  </si>
  <si>
    <t>Life History: Fall run, Ocean-type rearing</t>
  </si>
  <si>
    <t>To Snake R (LGR)</t>
  </si>
  <si>
    <t>Recent 10-yr avg.</t>
  </si>
  <si>
    <t>Snake</t>
  </si>
  <si>
    <t>Lower mainstem</t>
  </si>
  <si>
    <t>Upper mainstem</t>
  </si>
  <si>
    <t>Salmon Falls</t>
  </si>
  <si>
    <t>To Snake</t>
  </si>
  <si>
    <t>Fry</t>
  </si>
  <si>
    <t>Lyons Ferry Hatchery</t>
  </si>
  <si>
    <t>Idaho Power Program</t>
  </si>
  <si>
    <t>Combined Hatch / Natl</t>
  </si>
  <si>
    <t>Ocean (AK/Can)</t>
  </si>
  <si>
    <t>v. Ocn #</t>
  </si>
  <si>
    <t>Ocean (WA/OR)</t>
  </si>
  <si>
    <t>Col sport</t>
  </si>
  <si>
    <t>v Col R #</t>
  </si>
  <si>
    <t>21.5-45%</t>
  </si>
  <si>
    <t>Col commercial</t>
  </si>
  <si>
    <t>Col treaty</t>
  </si>
  <si>
    <t>Blocked area</t>
  </si>
  <si>
    <t>Table 5.  Estimated Columbia River return of Snake River wild fall Chinook adults, 1986-2016.</t>
  </si>
  <si>
    <t>Escapements</t>
  </si>
  <si>
    <t>see table below for alternative estimates of escapement/spawners</t>
  </si>
  <si>
    <t>Columbia</t>
  </si>
  <si>
    <t>Non- Indian</t>
  </si>
  <si>
    <t>Bonneville</t>
  </si>
  <si>
    <t>Non-Indian</t>
  </si>
  <si>
    <t>Lower</t>
  </si>
  <si>
    <t>&lt;BV</t>
  </si>
  <si>
    <t>NI &gt;BV</t>
  </si>
  <si>
    <t>Total NI</t>
  </si>
  <si>
    <t>CR - LGR</t>
  </si>
  <si>
    <t>from BA table 2b</t>
  </si>
  <si>
    <t>LGR Window</t>
  </si>
  <si>
    <t>Run recon to LGR</t>
  </si>
  <si>
    <t>Snake R</t>
  </si>
  <si>
    <t>adult</t>
  </si>
  <si>
    <t>River</t>
  </si>
  <si>
    <t>Zone 1-5</t>
  </si>
  <si>
    <t>Dam</t>
  </si>
  <si>
    <t>Above BON</t>
  </si>
  <si>
    <t>Granite</t>
  </si>
  <si>
    <t>ER</t>
  </si>
  <si>
    <t>Er ER</t>
  </si>
  <si>
    <t>conv</t>
  </si>
  <si>
    <t>SRW ER v CR rtn</t>
  </si>
  <si>
    <t>ad &amp; jks</t>
  </si>
  <si>
    <t>natl</t>
  </si>
  <si>
    <t>frac</t>
  </si>
  <si>
    <t>hatch</t>
  </si>
  <si>
    <t>run reconstruction escapement to LGR was adjusted for fallback/reascension and night passage from 2003 - 2016</t>
  </si>
  <si>
    <t>Count</t>
  </si>
  <si>
    <r>
      <t xml:space="preserve">Run Size
</t>
    </r>
    <r>
      <rPr>
        <b/>
        <i/>
        <sz val="7"/>
        <color indexed="8"/>
        <rFont val="Times New Roman"/>
        <family val="1"/>
        <charset val="204"/>
      </rPr>
      <t>1</t>
    </r>
  </si>
  <si>
    <t>v CR</t>
  </si>
  <si>
    <t>V Cr v</t>
  </si>
  <si>
    <t>incl harv</t>
  </si>
  <si>
    <t>Non-Ind</t>
  </si>
  <si>
    <t>total cnt</t>
  </si>
  <si>
    <t>spawners</t>
  </si>
  <si>
    <t>Harv rate</t>
  </si>
  <si>
    <t>wild</t>
  </si>
  <si>
    <t>not sure where the harvest rates above LGR came from</t>
  </si>
  <si>
    <t>Graph using Ray's data</t>
  </si>
  <si>
    <t>Graph Using Run Reconstruction Data</t>
  </si>
  <si>
    <t>http://www.critfc.org/fish-and-watersheds/fish-and-habitat-restoration/restoration-successes/snake-river-fall-chinook/</t>
  </si>
  <si>
    <t>In 1930, the annual Snake River fall chinook run was around half a million fish annually.</t>
  </si>
  <si>
    <r>
      <t xml:space="preserve">1.   </t>
    </r>
    <r>
      <rPr>
        <i/>
        <sz val="10"/>
        <color indexed="8"/>
        <rFont val="Times New Roman"/>
        <family val="1"/>
        <charset val="204"/>
      </rPr>
      <t>Includes release mortalities.</t>
    </r>
  </si>
  <si>
    <r>
      <t xml:space="preserve">2.   </t>
    </r>
    <r>
      <rPr>
        <i/>
        <sz val="10"/>
        <color indexed="8"/>
        <rFont val="Times New Roman"/>
        <family val="1"/>
        <charset val="204"/>
      </rPr>
      <t>Recent   year   harvest   data   for  non-treaty  recreational  fisheries   upstream  of  Bonneville  Dam   considered preliminary until catch record card data is finalized.</t>
    </r>
  </si>
  <si>
    <t>red numbers were changed to reflect</t>
  </si>
  <si>
    <t>conversion rates:</t>
  </si>
  <si>
    <t>Alternative way to calculate escapement/spawners above LGR</t>
  </si>
  <si>
    <t>updated run reconstruction estimates</t>
  </si>
  <si>
    <t>provided by B. Young on 2/13/18</t>
  </si>
  <si>
    <t>Note: 2014 biop says 98% conv Bv-LGr 2008-2012</t>
  </si>
  <si>
    <t>Escapement above LGR following Brood removals and accounting for fallback</t>
  </si>
  <si>
    <t>Escapement to LGR from Run reconstruction</t>
  </si>
  <si>
    <t>Abv LGR harvest estimates, IDFG and NPTH</t>
  </si>
  <si>
    <t>volunteers to NPTH w/rel back to river</t>
  </si>
  <si>
    <t>Escapement/spawners above LGR</t>
  </si>
  <si>
    <t>hydro mod for RP says 91% BV-LGr (corrected for harvest) 2012-2016 avg.</t>
  </si>
  <si>
    <t>Hat adults</t>
  </si>
  <si>
    <t>Hat jacks</t>
  </si>
  <si>
    <t>Nat adults</t>
  </si>
  <si>
    <t>Nat Jacks</t>
  </si>
  <si>
    <t>pHOS adult</t>
  </si>
  <si>
    <t>pHOS all</t>
  </si>
  <si>
    <t>data source</t>
  </si>
  <si>
    <r>
      <rPr>
        <vertAlign val="superscript"/>
        <sz val="11"/>
        <color theme="1"/>
        <rFont val="Calibri"/>
        <family val="2"/>
        <scheme val="minor"/>
      </rPr>
      <t>1</t>
    </r>
    <r>
      <rPr>
        <sz val="11"/>
        <color theme="1"/>
        <rFont val="Calibri"/>
        <family val="2"/>
        <scheme val="minor"/>
      </rPr>
      <t>States, Adult</t>
    </r>
  </si>
  <si>
    <r>
      <rPr>
        <vertAlign val="superscript"/>
        <sz val="11"/>
        <color theme="1"/>
        <rFont val="Calibri"/>
        <family val="2"/>
        <scheme val="minor"/>
      </rPr>
      <t>1</t>
    </r>
    <r>
      <rPr>
        <sz val="11"/>
        <color theme="1"/>
        <rFont val="Calibri"/>
        <family val="2"/>
        <scheme val="minor"/>
      </rPr>
      <t>States, Jacks</t>
    </r>
  </si>
  <si>
    <t>NPT Hatchery Adults</t>
  </si>
  <si>
    <t>NPT Natural Adults</t>
  </si>
  <si>
    <t>NPT Jacks</t>
  </si>
  <si>
    <t>total NPTH vol</t>
  </si>
  <si>
    <t>unmrk/untagged</t>
  </si>
  <si>
    <t>known HAT</t>
  </si>
  <si>
    <t>rel back to river</t>
  </si>
  <si>
    <t>Hat adults, adjusted</t>
  </si>
  <si>
    <t>Hat jacks, adjusted</t>
  </si>
  <si>
    <t>Nat adults, adjusted</t>
  </si>
  <si>
    <t>Nat Jacks, adjusted</t>
  </si>
  <si>
    <t>Total adults, adjusted</t>
  </si>
  <si>
    <t>Total all, adjusted</t>
  </si>
  <si>
    <t>hydro mod for RP says 59% BV-LGr (including harvest) 2012-2016 avg.</t>
  </si>
  <si>
    <t>run recon and haul data; subtract haul fish from total abundance at LGR</t>
  </si>
  <si>
    <t>check 1</t>
  </si>
  <si>
    <t>check 2</t>
  </si>
  <si>
    <t>use 60% (approx middle)</t>
  </si>
  <si>
    <t xml:space="preserve">LaVoy Mendel run recon; </t>
  </si>
  <si>
    <t>NJS run recon</t>
  </si>
  <si>
    <t>new subtraction method run recon</t>
  </si>
  <si>
    <t>DA</t>
  </si>
  <si>
    <t>DA - data not available</t>
  </si>
  <si>
    <r>
      <rPr>
        <vertAlign val="superscript"/>
        <sz val="11"/>
        <color theme="1"/>
        <rFont val="Calibri"/>
        <family val="2"/>
        <scheme val="minor"/>
      </rPr>
      <t>1</t>
    </r>
    <r>
      <rPr>
        <sz val="11"/>
        <color theme="1"/>
        <rFont val="Calibri"/>
        <family val="2"/>
        <scheme val="minor"/>
      </rPr>
      <t>Combined Idaho, Oregon, Washington</t>
    </r>
  </si>
  <si>
    <t>Snake River Sockeye</t>
  </si>
  <si>
    <t>ESA: Endangered</t>
  </si>
  <si>
    <t>Life History: Summer run, Lake-rearing</t>
  </si>
  <si>
    <t>To Snake R (L Granite))</t>
  </si>
  <si>
    <t>Local return (Sawtooth valley)</t>
  </si>
  <si>
    <t>Stanley Basin</t>
  </si>
  <si>
    <t>Redfish Lake</t>
  </si>
  <si>
    <t>All</t>
  </si>
  <si>
    <t>Alturas Lake</t>
  </si>
  <si>
    <t>Mainstem non treaty</t>
  </si>
  <si>
    <t>5-7%</t>
  </si>
  <si>
    <t>Hell Roaring Lake</t>
  </si>
  <si>
    <t>Stanley Lake</t>
  </si>
  <si>
    <t>Petit Lake</t>
  </si>
  <si>
    <t>Yellow Belly Lake</t>
  </si>
  <si>
    <t>(Payette)</t>
  </si>
  <si>
    <t>Payette</t>
  </si>
  <si>
    <t>(Wallowa)</t>
  </si>
  <si>
    <t>Recent 10 yr avg</t>
  </si>
  <si>
    <t>same?</t>
  </si>
  <si>
    <t>To Snake R (L Granite)</t>
  </si>
  <si>
    <t>Local Return (Sawtooth Valley)</t>
  </si>
  <si>
    <r>
      <t xml:space="preserve">Table ES-2. </t>
    </r>
    <r>
      <rPr>
        <sz val="10"/>
        <color rgb="FF000000"/>
        <rFont val="Times New Roman"/>
        <family val="1"/>
      </rPr>
      <t>Hatchery and natural-origin Sockeye Salmon returns to Sawtooth Valley, 1999 – 2014 (IDFG, in prep).</t>
    </r>
  </si>
  <si>
    <t>At</t>
  </si>
  <si>
    <t>Non-treaty</t>
  </si>
  <si>
    <t>[Need to fix plots of natural &amp; hatchery to account for unobserved]</t>
  </si>
  <si>
    <t>Col. R.</t>
  </si>
  <si>
    <r>
      <t>Catch</t>
    </r>
    <r>
      <rPr>
        <i/>
        <vertAlign val="superscript"/>
        <sz val="11"/>
        <color rgb="FF000000"/>
        <rFont val="Calibri"/>
        <family val="2"/>
        <scheme val="minor"/>
      </rPr>
      <t>2</t>
    </r>
    <r>
      <rPr>
        <i/>
        <sz val="11"/>
        <color rgb="FF000000"/>
        <rFont val="Calibri"/>
        <family val="2"/>
        <scheme val="minor"/>
      </rPr>
      <t xml:space="preserve"> </t>
    </r>
  </si>
  <si>
    <r>
      <t>Catch</t>
    </r>
    <r>
      <rPr>
        <i/>
        <vertAlign val="superscript"/>
        <sz val="11"/>
        <color rgb="FF000000"/>
        <rFont val="Calibri"/>
        <family val="2"/>
        <scheme val="minor"/>
      </rPr>
      <t>3</t>
    </r>
    <r>
      <rPr>
        <i/>
        <sz val="11"/>
        <color rgb="FF000000"/>
        <rFont val="Calibri"/>
        <family val="2"/>
        <scheme val="minor"/>
      </rPr>
      <t xml:space="preserve"> </t>
    </r>
  </si>
  <si>
    <t>Catch</t>
  </si>
  <si>
    <t>BON - LGR</t>
  </si>
  <si>
    <t>Columbia R Nontreaty</t>
  </si>
  <si>
    <t>Columbia R Treaty</t>
  </si>
  <si>
    <t>Return Year</t>
  </si>
  <si>
    <t>Natural Return</t>
  </si>
  <si>
    <t>Hatchery Return</t>
  </si>
  <si>
    <t>Alturas Returns*</t>
  </si>
  <si>
    <t>Observed Not</t>
  </si>
  <si>
    <t>Mouth</t>
  </si>
  <si>
    <r>
      <t>Escapement</t>
    </r>
    <r>
      <rPr>
        <vertAlign val="superscript"/>
        <sz val="11"/>
        <color rgb="FF000000"/>
        <rFont val="Calibri"/>
        <family val="2"/>
        <scheme val="minor"/>
      </rPr>
      <t>4</t>
    </r>
    <r>
      <rPr>
        <sz val="11"/>
        <color rgb="FF000000"/>
        <rFont val="Calibri"/>
        <family val="2"/>
        <scheme val="minor"/>
      </rPr>
      <t xml:space="preserve"> </t>
    </r>
  </si>
  <si>
    <t>Trapped</t>
  </si>
  <si>
    <t>% hat</t>
  </si>
  <si>
    <t>LGr - esc</t>
  </si>
  <si>
    <t>CR - LG</t>
  </si>
  <si>
    <t>LGR - esc</t>
  </si>
  <si>
    <t>Recov Plan Hydro model value</t>
  </si>
  <si>
    <t>see sheets below</t>
  </si>
  <si>
    <t>Fish Recovery - what's working well (fall Chinook), where can we make improvements/ get better ???, other states having success we can replicate?</t>
  </si>
  <si>
    <t>Understanding what has been/is being done</t>
  </si>
  <si>
    <t>Understanding how far away we are from success and learning if we will even get there with the current trajectory of actions.</t>
  </si>
  <si>
    <t>Learning how various potential actions will affect fish and people -both positive and nagative- and asking "what if" questions to keep communicties whole.</t>
  </si>
  <si>
    <t xml:space="preserve">All H + P </t>
  </si>
  <si>
    <t>SCEE</t>
  </si>
  <si>
    <t>Tribal salmon restoration/tribal rights/policies/socio-economics</t>
  </si>
  <si>
    <t>Review of mortality sources of salmon and relative impacts of each</t>
  </si>
  <si>
    <t>Comprhensive list of restoration policies, actions, and efforts undertaken within the state and regionally.</t>
  </si>
  <si>
    <t>Review of existing federal recovery policies, laws, and processes for salmon.</t>
  </si>
  <si>
    <t>Policy/Legal</t>
  </si>
  <si>
    <t>All about Dams: A presentation on past, current, and future operation and expenses of dams.</t>
  </si>
  <si>
    <t>How much shipping/barging incresed/decreased and why</t>
  </si>
  <si>
    <t>How much dam operations and the shipping industry is subsidized and will that increase?</t>
  </si>
  <si>
    <t>Would the grain growers be in favor of similar (levels) subsidies to their own rail line(s).</t>
  </si>
  <si>
    <t xml:space="preserve">BPA economic status now and in 10 years from now based on sales contracts that expire in 2028.  </t>
  </si>
  <si>
    <t>BPA cost and benefit analysis of the lower Snake River dams.</t>
  </si>
  <si>
    <t>Idaho salmon scientist presentation by the Forest (Service) research biologist Russ Thurow on Status of Salmon in Idaho and how to get to recovery.</t>
  </si>
  <si>
    <t>Power</t>
  </si>
  <si>
    <t>Update from feds on BiOP/CRSO</t>
  </si>
  <si>
    <t>Presentation from BPA to discuss value of systme and where there are challenges.</t>
  </si>
  <si>
    <t>Regional education tour/visits i.e. Port of Lewiston, hatcheries, hydro operations</t>
  </si>
  <si>
    <t>Invite Dr. David Welch to discuss science/ocean conditions.</t>
  </si>
  <si>
    <t>Explore impact of commercial harvest on Idaho returns.</t>
  </si>
  <si>
    <t>Have multi-day meetings to tour hatchery, rivers, &amp; communities of impact.</t>
  </si>
  <si>
    <t>Field trips to see restoration in action (i.e. habitat work and hatcheries)</t>
  </si>
  <si>
    <t>Port field trip</t>
  </si>
  <si>
    <t>BPA presentation</t>
  </si>
  <si>
    <t>All H + P + O</t>
  </si>
  <si>
    <t>NRCS -Current projects, possible collaboration, landowner incentives, resources.</t>
  </si>
  <si>
    <t>Discussions of Tribal efforts</t>
  </si>
  <si>
    <t>Status of flow augmentation in Idaho and benefits.</t>
  </si>
  <si>
    <t>Status of habitat in Idaho; history/timing of impoundments and impact on habitat by fish group (i.e. Sp/Su Chinook, steelhead, sockeye, Snake River Fall Chinook.</t>
  </si>
  <si>
    <t>Workshop/Trip on dynamic of Port of Lewiston.</t>
  </si>
  <si>
    <t>BPA funding- how used, benefits, future outlook.</t>
  </si>
  <si>
    <t>Workshops on all four H's, P and O (broad discussion and what we can do in Idaho.</t>
  </si>
  <si>
    <t>Card #</t>
  </si>
  <si>
    <t>Report on HCC Fisheries Management Plan</t>
  </si>
  <si>
    <t>Ongoing Regional Activities</t>
  </si>
  <si>
    <t>Economics of BPA</t>
  </si>
  <si>
    <t>Tour of what is being done on the ground.  How those actions benefit fish, privot land, and communities.</t>
  </si>
  <si>
    <t>More in depth causal analysis CF\( Russ Thurow or like) of key variable causal decline/inhibiting recovery</t>
  </si>
  <si>
    <t>More regional economic impact data</t>
  </si>
  <si>
    <t xml:space="preserve">It would be useful to have the workgroup participate in workshops-longer form-on evaluating the potential proximate &amp; long term impacts of particular policies/actions, </t>
  </si>
  <si>
    <t>Site visits in particular to restoration/hyrdo/hatcheries would be beneficial.</t>
  </si>
  <si>
    <t>I'd like to see coordination/information sahring with Congressmna Simpson's office on what they are thinking/proposing around salmon recovery.</t>
  </si>
  <si>
    <t>I like the idea of of longer format presentation.</t>
  </si>
  <si>
    <t>Definitly want to hear from the tribes on what they are doing.</t>
  </si>
  <si>
    <t>What are WA and OR doing on salmon recovery.</t>
  </si>
  <si>
    <t>Fish (abundance, status etc.)</t>
  </si>
  <si>
    <t>Tours</t>
  </si>
  <si>
    <t>Social, Cultural, Economic, Ecological (SCEE)</t>
  </si>
  <si>
    <t>Frequency</t>
  </si>
  <si>
    <t>SCEE= Social, Culterural, Economic, Environmental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</si>
</sst>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63"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4"/>
      <color theme="1"/>
      <name val="Calibri"/>
      <family val="2"/>
      <scheme val="minor"/>
    </font>
    <font>
      <sz val="14"/>
      <color theme="1"/>
      <name val="Calibri"/>
      <family val="2"/>
      <scheme val="minor"/>
    </font>
    <font>
      <b/>
      <sz val="11"/>
      <color rgb="FFFF0000"/>
      <name val="Calibri"/>
      <family val="2"/>
      <scheme val="minor"/>
    </font>
    <font>
      <b/>
      <u/>
      <sz val="11"/>
      <color theme="1"/>
      <name val="Calibri"/>
      <family val="2"/>
      <scheme val="minor"/>
    </font>
    <font>
      <u/>
      <sz val="11"/>
      <color theme="1"/>
      <name val="Calibri"/>
      <family val="2"/>
      <scheme val="minor"/>
    </font>
    <font>
      <sz val="10"/>
      <name val="Arial"/>
      <family val="2"/>
    </font>
    <font>
      <sz val="11"/>
      <name val="Calibri"/>
      <family val="2"/>
      <scheme val="minor"/>
    </font>
    <font>
      <sz val="11"/>
      <color theme="1"/>
      <name val="Calibri"/>
      <family val="2"/>
    </font>
    <font>
      <b/>
      <i/>
      <sz val="11"/>
      <color theme="1"/>
      <name val="Calibri"/>
      <family val="2"/>
      <scheme val="minor"/>
    </font>
    <font>
      <i/>
      <sz val="11"/>
      <color theme="1"/>
      <name val="Calibri"/>
      <family val="2"/>
      <scheme val="minor"/>
    </font>
    <font>
      <b/>
      <sz val="10"/>
      <name val="Calibri"/>
      <family val="2"/>
      <scheme val="minor"/>
    </font>
    <font>
      <b/>
      <i/>
      <sz val="11"/>
      <color rgb="FFFF0000"/>
      <name val="Calibri"/>
      <family val="2"/>
      <scheme val="minor"/>
    </font>
    <font>
      <b/>
      <sz val="11"/>
      <name val="Calibri"/>
      <family val="2"/>
      <scheme val="minor"/>
    </font>
    <font>
      <b/>
      <sz val="8"/>
      <color indexed="81"/>
      <name val="Tahoma"/>
      <family val="2"/>
    </font>
    <font>
      <sz val="12"/>
      <color rgb="FF000000"/>
      <name val="Times New Roman"/>
      <family val="1"/>
    </font>
    <font>
      <i/>
      <vertAlign val="superscript"/>
      <sz val="12"/>
      <color rgb="FF000000"/>
      <name val="Times New Roman"/>
      <family val="1"/>
    </font>
    <font>
      <i/>
      <sz val="8"/>
      <color rgb="FF000000"/>
      <name val="Times New Roman"/>
      <family val="1"/>
    </font>
    <font>
      <sz val="10"/>
      <color rgb="FF000000"/>
      <name val="Times New Roman"/>
      <family val="1"/>
    </font>
    <font>
      <vertAlign val="superscript"/>
      <sz val="10"/>
      <color rgb="FF000000"/>
      <name val="Times New Roman"/>
      <family val="1"/>
    </font>
    <font>
      <sz val="6.5"/>
      <color rgb="FF000000"/>
      <name val="Times New Roman"/>
      <family val="1"/>
    </font>
    <font>
      <sz val="11"/>
      <color rgb="FF000000"/>
      <name val="Times New Roman"/>
      <family val="1"/>
    </font>
    <font>
      <i/>
      <sz val="10"/>
      <color rgb="FF000000"/>
      <name val="Times New Roman"/>
      <family val="1"/>
    </font>
    <font>
      <sz val="8"/>
      <color indexed="81"/>
      <name val="Tahoma"/>
      <family val="2"/>
    </font>
    <font>
      <b/>
      <sz val="10"/>
      <color theme="1"/>
      <name val="Calibri"/>
      <family val="2"/>
      <scheme val="minor"/>
    </font>
    <font>
      <b/>
      <u/>
      <sz val="11"/>
      <name val="Calibri"/>
      <family val="2"/>
      <scheme val="minor"/>
    </font>
    <font>
      <b/>
      <sz val="9"/>
      <color indexed="81"/>
      <name val="Tahoma"/>
      <family val="2"/>
    </font>
    <font>
      <i/>
      <vertAlign val="superscript"/>
      <sz val="11"/>
      <color rgb="FF000000"/>
      <name val="Times New Roman"/>
      <family val="1"/>
    </font>
    <font>
      <i/>
      <sz val="11"/>
      <color rgb="FF000000"/>
      <name val="Times New Roman"/>
      <family val="1"/>
    </font>
    <font>
      <vertAlign val="superscript"/>
      <sz val="11"/>
      <color rgb="FF000000"/>
      <name val="Times New Roman"/>
      <family val="1"/>
    </font>
    <font>
      <b/>
      <sz val="14"/>
      <color theme="0"/>
      <name val="Calibri"/>
      <family val="2"/>
      <scheme val="minor"/>
    </font>
    <font>
      <sz val="14"/>
      <color rgb="FFFF0000"/>
      <name val="Calibri"/>
      <family val="2"/>
      <scheme val="minor"/>
    </font>
    <font>
      <b/>
      <sz val="14"/>
      <color rgb="FFFF0000"/>
      <name val="Calibri"/>
      <family val="2"/>
      <scheme val="minor"/>
    </font>
    <font>
      <sz val="12"/>
      <color indexed="8"/>
      <name val="Times New Roman"/>
      <family val="2"/>
    </font>
    <font>
      <sz val="10"/>
      <name val="Times New Roman"/>
      <family val="1"/>
      <charset val="204"/>
    </font>
    <font>
      <sz val="10"/>
      <color theme="1"/>
      <name val="Times New Roman"/>
      <family val="1"/>
      <charset val="204"/>
    </font>
    <font>
      <sz val="10"/>
      <color indexed="8"/>
      <name val="Times New Roman"/>
      <family val="2"/>
    </font>
    <font>
      <sz val="10"/>
      <color theme="1"/>
      <name val="Times New Roman"/>
      <family val="2"/>
    </font>
    <font>
      <sz val="10"/>
      <color indexed="8"/>
      <name val="Times New Roman"/>
      <family val="1"/>
      <charset val="204"/>
    </font>
    <font>
      <b/>
      <i/>
      <sz val="7"/>
      <color indexed="8"/>
      <name val="Times New Roman"/>
      <family val="1"/>
      <charset val="204"/>
    </font>
    <font>
      <sz val="10"/>
      <color indexed="8"/>
      <name val="Arial"/>
      <family val="2"/>
    </font>
    <font>
      <sz val="10"/>
      <color theme="1"/>
      <name val="Arial"/>
      <family val="2"/>
    </font>
    <font>
      <sz val="10"/>
      <color rgb="FFFF0000"/>
      <name val="Times New Roman"/>
      <family val="1"/>
      <charset val="204"/>
    </font>
    <font>
      <i/>
      <sz val="7"/>
      <color indexed="8"/>
      <name val="Times New Roman"/>
      <family val="1"/>
      <charset val="204"/>
    </font>
    <font>
      <i/>
      <sz val="10"/>
      <color indexed="8"/>
      <name val="Times New Roman"/>
      <family val="1"/>
      <charset val="204"/>
    </font>
    <font>
      <vertAlign val="superscript"/>
      <sz val="11"/>
      <color theme="1"/>
      <name val="Calibri"/>
      <family val="2"/>
      <scheme val="minor"/>
    </font>
    <font>
      <sz val="9"/>
      <color indexed="81"/>
      <name val="Tahoma"/>
      <family val="2"/>
    </font>
    <font>
      <b/>
      <sz val="9"/>
      <color rgb="FF000000"/>
      <name val="Tahoma"/>
      <family val="2"/>
    </font>
    <font>
      <sz val="9"/>
      <color rgb="FF000000"/>
      <name val="Tahoma"/>
      <family val="2"/>
    </font>
    <font>
      <b/>
      <sz val="10"/>
      <color rgb="FF000000"/>
      <name val="Times New Roman"/>
      <family val="1"/>
    </font>
    <font>
      <sz val="11"/>
      <color rgb="FF000000"/>
      <name val="Calibri"/>
      <family val="2"/>
      <scheme val="minor"/>
    </font>
    <font>
      <sz val="11"/>
      <color theme="1"/>
      <name val="Times New Roman"/>
      <family val="1"/>
    </font>
    <font>
      <i/>
      <vertAlign val="superscript"/>
      <sz val="11"/>
      <color rgb="FF000000"/>
      <name val="Calibri"/>
      <family val="2"/>
      <scheme val="minor"/>
    </font>
    <font>
      <i/>
      <sz val="11"/>
      <color rgb="FF000000"/>
      <name val="Calibri"/>
      <family val="2"/>
      <scheme val="minor"/>
    </font>
    <font>
      <b/>
      <sz val="9"/>
      <color rgb="FF000000"/>
      <name val="Arial Narrow"/>
      <family val="2"/>
    </font>
    <font>
      <vertAlign val="superscript"/>
      <sz val="11"/>
      <color rgb="FF000000"/>
      <name val="Calibri"/>
      <family val="2"/>
      <scheme val="minor"/>
    </font>
    <font>
      <sz val="11"/>
      <color rgb="FF000000"/>
      <name val="Arial Narrow"/>
      <family val="2"/>
    </font>
  </fonts>
  <fills count="25">
    <fill>
      <patternFill patternType="none"/>
    </fill>
    <fill>
      <patternFill patternType="gray125"/>
    </fill>
    <fill>
      <patternFill patternType="solid">
        <fgColor rgb="FF98B1CC"/>
        <bgColor indexed="64"/>
      </patternFill>
    </fill>
    <fill>
      <patternFill patternType="solid">
        <fgColor theme="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9FC1BD"/>
        <bgColor indexed="64"/>
      </patternFill>
    </fill>
    <fill>
      <patternFill patternType="solid">
        <fgColor rgb="FFCADCDA"/>
        <bgColor indexed="64"/>
      </patternFill>
    </fill>
    <fill>
      <patternFill patternType="solid">
        <fgColor rgb="FFEFF5F4"/>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E10101"/>
        <bgColor indexed="64"/>
      </patternFill>
    </fill>
    <fill>
      <patternFill patternType="solid">
        <fgColor rgb="FFFF9393"/>
        <bgColor indexed="64"/>
      </patternFill>
    </fill>
    <fill>
      <patternFill patternType="solid">
        <fgColor rgb="FFFFD5D5"/>
        <bgColor indexed="64"/>
      </patternFill>
    </fill>
    <fill>
      <patternFill patternType="solid">
        <fgColor rgb="FFF1F1F1"/>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theme="0" tint="-0.14996795556505021"/>
      </right>
      <top style="thin">
        <color indexed="64"/>
      </top>
      <bottom/>
      <diagonal/>
    </border>
    <border>
      <left style="thin">
        <color indexed="64"/>
      </left>
      <right/>
      <top/>
      <bottom/>
      <diagonal/>
    </border>
    <border>
      <left/>
      <right style="thin">
        <color theme="0" tint="-0.14996795556505021"/>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theme="0" tint="-0.14996795556505021"/>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tint="-0.14996795556505021"/>
      </left>
      <right/>
      <top style="thin">
        <color indexed="64"/>
      </top>
      <bottom/>
      <diagonal/>
    </border>
    <border>
      <left style="thin">
        <color theme="0" tint="-0.14996795556505021"/>
      </left>
      <right/>
      <top/>
      <bottom style="thin">
        <color indexed="64"/>
      </bottom>
      <diagonal/>
    </border>
    <border>
      <left style="thin">
        <color theme="0" tint="-0.14996795556505021"/>
      </left>
      <right/>
      <top/>
      <bottom/>
      <diagonal/>
    </border>
    <border>
      <left style="thin">
        <color theme="0" tint="-0.14996795556505021"/>
      </left>
      <right/>
      <top style="thin">
        <color indexed="64"/>
      </top>
      <bottom style="thin">
        <color indexed="64"/>
      </bottom>
      <diagonal/>
    </border>
    <border>
      <left style="thin">
        <color indexed="64"/>
      </left>
      <right style="thin">
        <color indexed="64"/>
      </right>
      <top/>
      <bottom/>
      <diagonal/>
    </border>
    <border>
      <left style="thin">
        <color theme="0" tint="-0.34998626667073579"/>
      </left>
      <right/>
      <top style="thin">
        <color indexed="64"/>
      </top>
      <bottom/>
      <diagonal/>
    </border>
    <border>
      <left style="thin">
        <color theme="0" tint="-0.34998626667073579"/>
      </left>
      <right/>
      <top/>
      <bottom/>
      <diagonal/>
    </border>
    <border>
      <left style="thin">
        <color theme="0" tint="-0.34998626667073579"/>
      </left>
      <right/>
      <top/>
      <bottom style="thin">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thick">
        <color rgb="FF000000"/>
      </left>
      <right style="medium">
        <color rgb="FF000000"/>
      </right>
      <top style="thick">
        <color rgb="FF000000"/>
      </top>
      <bottom/>
      <diagonal/>
    </border>
    <border>
      <left style="medium">
        <color rgb="FF000000"/>
      </left>
      <right/>
      <top style="thick">
        <color rgb="FF000000"/>
      </top>
      <bottom/>
      <diagonal/>
    </border>
    <border>
      <left/>
      <right/>
      <top style="thick">
        <color rgb="FF000000"/>
      </top>
      <bottom/>
      <diagonal/>
    </border>
    <border>
      <left/>
      <right style="medium">
        <color rgb="FF000000"/>
      </right>
      <top style="thick">
        <color rgb="FF000000"/>
      </top>
      <bottom/>
      <diagonal/>
    </border>
    <border>
      <left/>
      <right style="thick">
        <color rgb="FF000000"/>
      </right>
      <top style="thick">
        <color rgb="FF000000"/>
      </top>
      <bottom/>
      <diagonal/>
    </border>
    <border>
      <left style="thick">
        <color rgb="FF000000"/>
      </left>
      <right style="medium">
        <color rgb="FF000000"/>
      </right>
      <top/>
      <bottom style="medium">
        <color rgb="FF000000"/>
      </bottom>
      <diagonal/>
    </border>
    <border>
      <left/>
      <right style="thick">
        <color rgb="FF000000"/>
      </right>
      <top/>
      <bottom style="medium">
        <color rgb="FF000000"/>
      </bottom>
      <diagonal/>
    </border>
    <border>
      <left style="thick">
        <color rgb="FF000000"/>
      </left>
      <right style="medium">
        <color rgb="FF000000"/>
      </right>
      <top/>
      <bottom/>
      <diagonal/>
    </border>
    <border>
      <left/>
      <right style="thick">
        <color rgb="FF000000"/>
      </right>
      <top/>
      <bottom/>
      <diagonal/>
    </border>
    <border>
      <left style="thick">
        <color rgb="FF000000"/>
      </left>
      <right style="medium">
        <color rgb="FF000000"/>
      </right>
      <top/>
      <bottom style="thick">
        <color rgb="FF000000"/>
      </bottom>
      <diagonal/>
    </border>
    <border>
      <left/>
      <right/>
      <top/>
      <bottom style="thick">
        <color rgb="FF000000"/>
      </bottom>
      <diagonal/>
    </border>
    <border>
      <left/>
      <right style="medium">
        <color rgb="FF000000"/>
      </right>
      <top/>
      <bottom style="thick">
        <color rgb="FF000000"/>
      </bottom>
      <diagonal/>
    </border>
    <border>
      <left/>
      <right style="thick">
        <color rgb="FF000000"/>
      </right>
      <top/>
      <bottom style="thick">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9" fontId="1" fillId="0" borderId="0" applyFont="0" applyFill="0" applyBorder="0" applyAlignment="0" applyProtection="0"/>
    <xf numFmtId="0" fontId="6" fillId="0" borderId="0" applyNumberFormat="0" applyFill="0" applyBorder="0" applyAlignment="0" applyProtection="0"/>
    <xf numFmtId="0" fontId="12" fillId="0" borderId="0"/>
  </cellStyleXfs>
  <cellXfs count="998">
    <xf numFmtId="0" fontId="0" fillId="0" borderId="0" xfId="0"/>
    <xf numFmtId="0" fontId="4" fillId="0" borderId="0" xfId="0" applyFont="1"/>
    <xf numFmtId="49" fontId="4" fillId="0" borderId="0" xfId="0" applyNumberFormat="1" applyFont="1" applyAlignment="1">
      <alignment wrapText="1"/>
    </xf>
    <xf numFmtId="49" fontId="0" fillId="0" borderId="0" xfId="0" applyNumberFormat="1" applyAlignment="1">
      <alignment wrapText="1"/>
    </xf>
    <xf numFmtId="49" fontId="0" fillId="0" borderId="0" xfId="0" applyNumberFormat="1" applyAlignment="1">
      <alignment vertical="center" wrapText="1"/>
    </xf>
    <xf numFmtId="49" fontId="6" fillId="0" borderId="0" xfId="2" applyNumberFormat="1" applyAlignment="1">
      <alignment wrapText="1"/>
    </xf>
    <xf numFmtId="0" fontId="7" fillId="2" borderId="0" xfId="0" applyFont="1" applyFill="1" applyAlignment="1">
      <alignment vertical="center"/>
    </xf>
    <xf numFmtId="0" fontId="8" fillId="2" borderId="0" xfId="0" applyFont="1" applyFill="1" applyAlignment="1">
      <alignment vertical="center"/>
    </xf>
    <xf numFmtId="0" fontId="7" fillId="2" borderId="0" xfId="0" applyFont="1" applyFill="1" applyAlignment="1">
      <alignment horizontal="left" vertical="center"/>
    </xf>
    <xf numFmtId="0" fontId="7" fillId="2" borderId="0" xfId="0" applyFont="1" applyFill="1" applyAlignment="1">
      <alignment horizontal="right" vertical="center"/>
    </xf>
    <xf numFmtId="0" fontId="8" fillId="2" borderId="0" xfId="0" applyFont="1" applyFill="1"/>
    <xf numFmtId="0" fontId="8" fillId="0" borderId="0" xfId="0" applyFont="1"/>
    <xf numFmtId="0" fontId="0" fillId="3" borderId="0" xfId="0" applyFill="1"/>
    <xf numFmtId="0" fontId="5" fillId="3" borderId="0" xfId="0" applyFont="1" applyFill="1"/>
    <xf numFmtId="0" fontId="0" fillId="3" borderId="0" xfId="0" applyFont="1" applyFill="1"/>
    <xf numFmtId="0" fontId="0" fillId="0" borderId="0" xfId="0" applyFont="1"/>
    <xf numFmtId="0" fontId="2" fillId="4" borderId="1" xfId="0" applyFont="1" applyFill="1" applyBorder="1" applyAlignment="1">
      <alignment horizontal="centerContinuous"/>
    </xf>
    <xf numFmtId="0" fontId="2" fillId="4" borderId="2" xfId="0" applyFont="1" applyFill="1" applyBorder="1" applyAlignment="1">
      <alignment horizontal="centerContinuous"/>
    </xf>
    <xf numFmtId="0" fontId="5" fillId="4" borderId="2" xfId="0" applyFont="1" applyFill="1" applyBorder="1" applyAlignment="1">
      <alignment horizontal="centerContinuous"/>
    </xf>
    <xf numFmtId="0" fontId="5" fillId="4" borderId="3" xfId="0" applyFont="1" applyFill="1" applyBorder="1" applyAlignment="1">
      <alignment horizontal="centerContinuous"/>
    </xf>
    <xf numFmtId="0" fontId="0" fillId="5" borderId="1" xfId="0" applyFill="1" applyBorder="1"/>
    <xf numFmtId="0" fontId="0" fillId="5" borderId="2" xfId="0" applyFill="1" applyBorder="1"/>
    <xf numFmtId="0" fontId="4" fillId="5" borderId="2" xfId="0" applyFont="1" applyFill="1" applyBorder="1" applyAlignment="1">
      <alignment horizontal="center"/>
    </xf>
    <xf numFmtId="0" fontId="4" fillId="5" borderId="3" xfId="0" applyFont="1" applyFill="1" applyBorder="1" applyAlignment="1">
      <alignment horizontal="center"/>
    </xf>
    <xf numFmtId="0" fontId="4" fillId="3" borderId="1" xfId="0" applyFont="1" applyFill="1" applyBorder="1"/>
    <xf numFmtId="0" fontId="0" fillId="3" borderId="2" xfId="0" applyFont="1" applyFill="1" applyBorder="1"/>
    <xf numFmtId="0" fontId="0" fillId="3" borderId="4" xfId="0" applyFont="1" applyFill="1" applyBorder="1"/>
    <xf numFmtId="3" fontId="4" fillId="0" borderId="2" xfId="0" applyNumberFormat="1" applyFont="1" applyFill="1" applyBorder="1" applyAlignment="1">
      <alignment horizontal="center"/>
    </xf>
    <xf numFmtId="9" fontId="4" fillId="0" borderId="3" xfId="1" applyFont="1" applyFill="1" applyBorder="1" applyAlignment="1">
      <alignment horizontal="center"/>
    </xf>
    <xf numFmtId="0" fontId="4" fillId="3" borderId="5" xfId="0" applyFont="1" applyFill="1" applyBorder="1"/>
    <xf numFmtId="0" fontId="0" fillId="3" borderId="0" xfId="0" applyFont="1" applyFill="1" applyBorder="1"/>
    <xf numFmtId="0" fontId="0" fillId="3" borderId="6" xfId="0" applyFont="1" applyFill="1" applyBorder="1"/>
    <xf numFmtId="3" fontId="4" fillId="0" borderId="0" xfId="0" applyNumberFormat="1" applyFont="1" applyFill="1" applyBorder="1" applyAlignment="1">
      <alignment horizontal="center"/>
    </xf>
    <xf numFmtId="9" fontId="4" fillId="0" borderId="7" xfId="1" applyFont="1" applyFill="1" applyBorder="1" applyAlignment="1">
      <alignment horizontal="center"/>
    </xf>
    <xf numFmtId="3" fontId="9" fillId="0" borderId="0" xfId="0" applyNumberFormat="1" applyFont="1" applyFill="1" applyBorder="1" applyAlignment="1">
      <alignment horizontal="center"/>
    </xf>
    <xf numFmtId="9" fontId="9" fillId="0" borderId="7" xfId="1" applyFont="1" applyFill="1" applyBorder="1" applyAlignment="1">
      <alignment horizontal="center"/>
    </xf>
    <xf numFmtId="0" fontId="4" fillId="3" borderId="8" xfId="0" applyFont="1" applyFill="1" applyBorder="1"/>
    <xf numFmtId="0" fontId="0" fillId="3" borderId="9" xfId="0" applyFont="1" applyFill="1" applyBorder="1"/>
    <xf numFmtId="0" fontId="0" fillId="3" borderId="10" xfId="0" applyFont="1" applyFill="1" applyBorder="1"/>
    <xf numFmtId="3" fontId="4" fillId="0" borderId="9" xfId="0" applyNumberFormat="1" applyFont="1" applyFill="1" applyBorder="1" applyAlignment="1">
      <alignment horizontal="center"/>
    </xf>
    <xf numFmtId="9" fontId="4" fillId="0" borderId="11" xfId="1" applyFont="1" applyFill="1" applyBorder="1" applyAlignment="1">
      <alignment horizontal="center"/>
    </xf>
    <xf numFmtId="0" fontId="4" fillId="3" borderId="12" xfId="0" applyFont="1" applyFill="1" applyBorder="1" applyAlignment="1">
      <alignment horizontal="center"/>
    </xf>
    <xf numFmtId="164" fontId="4" fillId="3" borderId="13" xfId="0" applyNumberFormat="1" applyFont="1" applyFill="1" applyBorder="1" applyAlignment="1">
      <alignment horizontal="left"/>
    </xf>
    <xf numFmtId="164" fontId="4" fillId="3" borderId="13" xfId="0" applyNumberFormat="1" applyFont="1" applyFill="1" applyBorder="1"/>
    <xf numFmtId="0" fontId="5" fillId="3" borderId="14" xfId="0" applyFont="1" applyFill="1" applyBorder="1"/>
    <xf numFmtId="3" fontId="4" fillId="3" borderId="14" xfId="0" applyNumberFormat="1" applyFont="1" applyFill="1" applyBorder="1"/>
    <xf numFmtId="0" fontId="4" fillId="6" borderId="12" xfId="0" applyFont="1" applyFill="1" applyBorder="1"/>
    <xf numFmtId="0" fontId="0" fillId="6" borderId="14" xfId="0" applyFont="1" applyFill="1" applyBorder="1"/>
    <xf numFmtId="0" fontId="0" fillId="7" borderId="2" xfId="0" applyFill="1" applyBorder="1"/>
    <xf numFmtId="0" fontId="10" fillId="7" borderId="2" xfId="0" applyFont="1" applyFill="1" applyBorder="1" applyAlignment="1">
      <alignment horizontal="centerContinuous"/>
    </xf>
    <xf numFmtId="0" fontId="0" fillId="7" borderId="2" xfId="0" applyFont="1" applyFill="1" applyBorder="1" applyAlignment="1">
      <alignment horizontal="centerContinuous"/>
    </xf>
    <xf numFmtId="0" fontId="4" fillId="7" borderId="2" xfId="0" applyFont="1" applyFill="1" applyBorder="1" applyAlignment="1">
      <alignment horizontal="centerContinuous"/>
    </xf>
    <xf numFmtId="0" fontId="4" fillId="7" borderId="3" xfId="0" applyFont="1" applyFill="1" applyBorder="1" applyAlignment="1">
      <alignment horizontal="centerContinuous"/>
    </xf>
    <xf numFmtId="0" fontId="4" fillId="8" borderId="12" xfId="0" applyFont="1" applyFill="1" applyBorder="1"/>
    <xf numFmtId="0" fontId="0" fillId="8" borderId="14" xfId="0" applyFill="1" applyBorder="1"/>
    <xf numFmtId="0" fontId="0" fillId="9" borderId="2" xfId="0" applyFont="1" applyFill="1" applyBorder="1"/>
    <xf numFmtId="0" fontId="10" fillId="9" borderId="2" xfId="0" applyFont="1" applyFill="1" applyBorder="1" applyAlignment="1">
      <alignment horizontal="centerContinuous"/>
    </xf>
    <xf numFmtId="0" fontId="4" fillId="9" borderId="2" xfId="0" applyFont="1" applyFill="1" applyBorder="1" applyAlignment="1">
      <alignment horizontal="centerContinuous"/>
    </xf>
    <xf numFmtId="0" fontId="4" fillId="9" borderId="3" xfId="0" applyFont="1" applyFill="1" applyBorder="1" applyAlignment="1">
      <alignment horizontal="center"/>
    </xf>
    <xf numFmtId="0" fontId="4" fillId="7" borderId="8" xfId="0" applyFont="1" applyFill="1" applyBorder="1" applyAlignment="1">
      <alignment horizontal="center" vertical="center"/>
    </xf>
    <xf numFmtId="0" fontId="4" fillId="7" borderId="9" xfId="0" applyFont="1" applyFill="1" applyBorder="1" applyAlignment="1">
      <alignment horizontal="center" vertical="center"/>
    </xf>
    <xf numFmtId="0" fontId="0" fillId="7" borderId="9" xfId="0" applyFill="1" applyBorder="1"/>
    <xf numFmtId="0" fontId="4" fillId="7" borderId="11" xfId="0" applyFont="1" applyFill="1" applyBorder="1" applyAlignment="1">
      <alignment horizontal="center" vertical="center"/>
    </xf>
    <xf numFmtId="0" fontId="4" fillId="9" borderId="5" xfId="0" applyFont="1" applyFill="1" applyBorder="1"/>
    <xf numFmtId="0" fontId="4" fillId="9" borderId="0" xfId="0" applyFont="1" applyFill="1" applyBorder="1"/>
    <xf numFmtId="0" fontId="4" fillId="9" borderId="0" xfId="0" applyFont="1" applyFill="1" applyBorder="1" applyAlignment="1">
      <alignment horizontal="center"/>
    </xf>
    <xf numFmtId="0" fontId="4" fillId="9" borderId="7" xfId="0" applyFont="1" applyFill="1" applyBorder="1"/>
    <xf numFmtId="0" fontId="0" fillId="3" borderId="1" xfId="0" applyFont="1" applyFill="1" applyBorder="1"/>
    <xf numFmtId="0" fontId="0" fillId="3" borderId="2" xfId="0" applyFill="1" applyBorder="1"/>
    <xf numFmtId="3" fontId="3" fillId="0" borderId="16" xfId="0" applyNumberFormat="1" applyFont="1" applyBorder="1" applyAlignment="1">
      <alignment horizontal="center"/>
    </xf>
    <xf numFmtId="3" fontId="3" fillId="0" borderId="2" xfId="0" applyNumberFormat="1" applyFont="1" applyBorder="1" applyAlignment="1">
      <alignment horizontal="center"/>
    </xf>
    <xf numFmtId="3" fontId="0" fillId="0" borderId="2" xfId="0" quotePrefix="1" applyNumberFormat="1" applyFont="1" applyBorder="1" applyAlignment="1">
      <alignment horizontal="center"/>
    </xf>
    <xf numFmtId="3" fontId="0" fillId="0" borderId="2" xfId="0" applyNumberFormat="1" applyFont="1" applyBorder="1" applyAlignment="1">
      <alignment horizontal="center"/>
    </xf>
    <xf numFmtId="3" fontId="0" fillId="0" borderId="3" xfId="0" applyNumberFormat="1" applyFont="1" applyBorder="1" applyAlignment="1">
      <alignment horizontal="center"/>
    </xf>
    <xf numFmtId="0" fontId="0" fillId="0" borderId="1" xfId="0" applyFont="1" applyBorder="1"/>
    <xf numFmtId="0" fontId="0" fillId="0" borderId="2" xfId="0" applyFont="1" applyBorder="1"/>
    <xf numFmtId="0" fontId="0" fillId="0" borderId="2" xfId="0" applyFont="1" applyBorder="1" applyAlignment="1">
      <alignment horizontal="center"/>
    </xf>
    <xf numFmtId="3" fontId="0" fillId="0" borderId="2" xfId="0" applyNumberFormat="1" applyFont="1" applyBorder="1"/>
    <xf numFmtId="3" fontId="0" fillId="0" borderId="2" xfId="0" applyNumberFormat="1" applyFont="1" applyBorder="1" applyAlignment="1">
      <alignment horizontal="right" vertical="center"/>
    </xf>
    <xf numFmtId="0" fontId="0" fillId="0" borderId="3" xfId="0" applyFont="1" applyBorder="1"/>
    <xf numFmtId="0" fontId="0" fillId="3" borderId="8" xfId="0" applyFont="1" applyFill="1" applyBorder="1"/>
    <xf numFmtId="0" fontId="0" fillId="3" borderId="9" xfId="0" applyFill="1" applyBorder="1"/>
    <xf numFmtId="3" fontId="3" fillId="0" borderId="17" xfId="0" applyNumberFormat="1" applyFont="1" applyBorder="1" applyAlignment="1">
      <alignment horizontal="center"/>
    </xf>
    <xf numFmtId="3" fontId="3" fillId="0" borderId="9" xfId="0" applyNumberFormat="1" applyFont="1" applyBorder="1" applyAlignment="1">
      <alignment horizontal="center"/>
    </xf>
    <xf numFmtId="3" fontId="0" fillId="0" borderId="9" xfId="0" quotePrefix="1" applyNumberFormat="1" applyFont="1" applyBorder="1" applyAlignment="1">
      <alignment horizontal="center"/>
    </xf>
    <xf numFmtId="3" fontId="0" fillId="0" borderId="9" xfId="0" applyNumberFormat="1" applyFont="1" applyBorder="1" applyAlignment="1">
      <alignment horizontal="center"/>
    </xf>
    <xf numFmtId="3" fontId="0" fillId="0" borderId="11" xfId="0" applyNumberFormat="1" applyFont="1" applyBorder="1" applyAlignment="1">
      <alignment horizontal="center"/>
    </xf>
    <xf numFmtId="0" fontId="0" fillId="0" borderId="5" xfId="0" applyFont="1" applyFill="1" applyBorder="1"/>
    <xf numFmtId="0" fontId="0" fillId="0" borderId="0" xfId="0" applyFont="1" applyBorder="1"/>
    <xf numFmtId="0" fontId="0" fillId="0" borderId="0" xfId="0" applyFont="1" applyBorder="1" applyAlignment="1">
      <alignment horizontal="center"/>
    </xf>
    <xf numFmtId="3" fontId="0" fillId="0" borderId="0" xfId="0" applyNumberFormat="1" applyFont="1" applyBorder="1"/>
    <xf numFmtId="3" fontId="0" fillId="0" borderId="0" xfId="0" applyNumberFormat="1" applyFont="1" applyBorder="1" applyAlignment="1">
      <alignment horizontal="right" vertical="center"/>
    </xf>
    <xf numFmtId="0" fontId="0" fillId="0" borderId="7" xfId="0" applyFont="1" applyBorder="1"/>
    <xf numFmtId="0" fontId="13" fillId="3" borderId="1" xfId="3" applyFont="1" applyFill="1" applyBorder="1"/>
    <xf numFmtId="0" fontId="0" fillId="0" borderId="0" xfId="0" applyFont="1" applyFill="1" applyBorder="1"/>
    <xf numFmtId="3" fontId="0" fillId="0" borderId="0" xfId="0" quotePrefix="1" applyNumberFormat="1" applyFont="1" applyFill="1" applyBorder="1" applyAlignment="1">
      <alignment horizontal="right"/>
    </xf>
    <xf numFmtId="0" fontId="13" fillId="3" borderId="5" xfId="3" applyFont="1" applyFill="1" applyBorder="1"/>
    <xf numFmtId="0" fontId="0" fillId="3" borderId="0" xfId="0" applyFill="1" applyBorder="1"/>
    <xf numFmtId="3" fontId="3" fillId="0" borderId="18" xfId="0" applyNumberFormat="1" applyFont="1" applyBorder="1" applyAlignment="1">
      <alignment horizontal="center"/>
    </xf>
    <xf numFmtId="3" fontId="3" fillId="0" borderId="0" xfId="0" applyNumberFormat="1" applyFont="1" applyBorder="1" applyAlignment="1">
      <alignment horizontal="center"/>
    </xf>
    <xf numFmtId="3" fontId="0" fillId="0" borderId="0" xfId="0" quotePrefix="1" applyNumberFormat="1" applyFont="1" applyBorder="1" applyAlignment="1">
      <alignment horizontal="center"/>
    </xf>
    <xf numFmtId="3" fontId="0" fillId="0" borderId="0" xfId="0" applyNumberFormat="1" applyFont="1" applyBorder="1" applyAlignment="1">
      <alignment horizontal="center"/>
    </xf>
    <xf numFmtId="3" fontId="0" fillId="0" borderId="7" xfId="0" applyNumberFormat="1" applyFont="1" applyBorder="1" applyAlignment="1">
      <alignment horizontal="center"/>
    </xf>
    <xf numFmtId="3" fontId="0" fillId="0" borderId="0" xfId="0" applyNumberFormat="1" applyFont="1" applyFill="1" applyBorder="1" applyAlignment="1">
      <alignment horizontal="right" vertical="center"/>
    </xf>
    <xf numFmtId="3" fontId="0" fillId="0" borderId="7" xfId="0" quotePrefix="1" applyNumberFormat="1" applyFont="1" applyBorder="1" applyAlignment="1">
      <alignment horizontal="center"/>
    </xf>
    <xf numFmtId="3" fontId="0" fillId="0" borderId="0" xfId="0" applyNumberFormat="1" applyFont="1" applyFill="1" applyBorder="1" applyAlignment="1">
      <alignment horizontal="right"/>
    </xf>
    <xf numFmtId="3" fontId="0" fillId="0" borderId="0" xfId="0" applyNumberFormat="1" applyFont="1" applyFill="1" applyBorder="1"/>
    <xf numFmtId="0" fontId="13" fillId="3" borderId="8" xfId="3" applyFont="1" applyFill="1" applyBorder="1"/>
    <xf numFmtId="0" fontId="0" fillId="0" borderId="8" xfId="0" applyFont="1" applyFill="1" applyBorder="1"/>
    <xf numFmtId="0" fontId="0" fillId="0" borderId="9" xfId="0" applyFont="1" applyFill="1" applyBorder="1"/>
    <xf numFmtId="0" fontId="0" fillId="0" borderId="9" xfId="0" applyFont="1" applyBorder="1" applyAlignment="1">
      <alignment horizontal="center"/>
    </xf>
    <xf numFmtId="3" fontId="0" fillId="0" borderId="9" xfId="0" applyNumberFormat="1" applyFont="1" applyFill="1" applyBorder="1" applyAlignment="1">
      <alignment horizontal="right"/>
    </xf>
    <xf numFmtId="0" fontId="0" fillId="0" borderId="9" xfId="0" applyFont="1" applyBorder="1"/>
    <xf numFmtId="3" fontId="0" fillId="0" borderId="9" xfId="0" applyNumberFormat="1" applyFont="1" applyFill="1" applyBorder="1"/>
    <xf numFmtId="0" fontId="0" fillId="0" borderId="9" xfId="0" applyFont="1" applyBorder="1" applyAlignment="1"/>
    <xf numFmtId="0" fontId="0" fillId="0" borderId="11" xfId="0" applyFont="1" applyBorder="1"/>
    <xf numFmtId="0" fontId="14" fillId="3" borderId="5" xfId="0" applyFont="1" applyFill="1" applyBorder="1"/>
    <xf numFmtId="0" fontId="15" fillId="9" borderId="12" xfId="0" applyFont="1" applyFill="1" applyBorder="1"/>
    <xf numFmtId="0" fontId="15" fillId="9" borderId="13" xfId="0" applyFont="1" applyFill="1" applyBorder="1"/>
    <xf numFmtId="0" fontId="0" fillId="9" borderId="13" xfId="0" applyFont="1" applyFill="1" applyBorder="1" applyAlignment="1">
      <alignment horizontal="center"/>
    </xf>
    <xf numFmtId="3" fontId="15" fillId="9" borderId="13" xfId="0" applyNumberFormat="1" applyFont="1" applyFill="1" applyBorder="1" applyAlignment="1">
      <alignment horizontal="right"/>
    </xf>
    <xf numFmtId="0" fontId="0" fillId="9" borderId="13" xfId="0" applyFont="1" applyFill="1" applyBorder="1"/>
    <xf numFmtId="0" fontId="0" fillId="9" borderId="14" xfId="0" applyFont="1" applyFill="1" applyBorder="1"/>
    <xf numFmtId="0" fontId="16" fillId="3" borderId="0" xfId="0" applyFont="1" applyFill="1" applyBorder="1"/>
    <xf numFmtId="0" fontId="16" fillId="3" borderId="0" xfId="0" applyFont="1" applyFill="1"/>
    <xf numFmtId="0" fontId="14" fillId="3" borderId="8" xfId="0" applyFont="1" applyFill="1" applyBorder="1"/>
    <xf numFmtId="0" fontId="4" fillId="0" borderId="15" xfId="0" applyFont="1" applyBorder="1"/>
    <xf numFmtId="0" fontId="14" fillId="3" borderId="12" xfId="0" applyFont="1" applyFill="1" applyBorder="1"/>
    <xf numFmtId="0" fontId="0" fillId="3" borderId="13" xfId="0" applyFill="1" applyBorder="1"/>
    <xf numFmtId="3" fontId="3" fillId="0" borderId="19" xfId="0" applyNumberFormat="1" applyFont="1" applyBorder="1" applyAlignment="1">
      <alignment horizontal="center"/>
    </xf>
    <xf numFmtId="3" fontId="3" fillId="0" borderId="13" xfId="0" applyNumberFormat="1" applyFont="1" applyBorder="1" applyAlignment="1">
      <alignment horizontal="center"/>
    </xf>
    <xf numFmtId="3" fontId="0" fillId="0" borderId="13" xfId="0" quotePrefix="1" applyNumberFormat="1" applyFont="1" applyBorder="1" applyAlignment="1">
      <alignment horizontal="center"/>
    </xf>
    <xf numFmtId="3" fontId="0" fillId="0" borderId="13" xfId="0" applyNumberFormat="1" applyFont="1" applyBorder="1" applyAlignment="1">
      <alignment horizontal="center"/>
    </xf>
    <xf numFmtId="3" fontId="0" fillId="0" borderId="14" xfId="0" applyNumberFormat="1" applyFont="1" applyBorder="1" applyAlignment="1">
      <alignment horizontal="center"/>
    </xf>
    <xf numFmtId="0" fontId="4" fillId="10" borderId="12" xfId="0" applyFont="1" applyFill="1" applyBorder="1"/>
    <xf numFmtId="0" fontId="4" fillId="10" borderId="14" xfId="0" applyFont="1" applyFill="1" applyBorder="1"/>
    <xf numFmtId="0" fontId="10" fillId="11" borderId="2" xfId="0" applyFont="1" applyFill="1" applyBorder="1" applyAlignment="1">
      <alignment horizontal="centerContinuous"/>
    </xf>
    <xf numFmtId="0" fontId="4" fillId="11" borderId="2" xfId="0" applyFont="1" applyFill="1" applyBorder="1" applyAlignment="1">
      <alignment horizontal="centerContinuous"/>
    </xf>
    <xf numFmtId="0" fontId="0" fillId="11" borderId="2" xfId="0" applyFill="1" applyBorder="1" applyAlignment="1">
      <alignment horizontal="centerContinuous"/>
    </xf>
    <xf numFmtId="0" fontId="10" fillId="11" borderId="3" xfId="0" applyFont="1" applyFill="1" applyBorder="1" applyAlignment="1">
      <alignment horizontal="centerContinuous"/>
    </xf>
    <xf numFmtId="0" fontId="14" fillId="3" borderId="1" xfId="0" applyFont="1" applyFill="1" applyBorder="1"/>
    <xf numFmtId="0" fontId="4" fillId="11" borderId="8" xfId="0" applyFont="1" applyFill="1" applyBorder="1"/>
    <xf numFmtId="0" fontId="4" fillId="11" borderId="9" xfId="0" applyFont="1" applyFill="1" applyBorder="1"/>
    <xf numFmtId="0" fontId="4" fillId="11" borderId="9" xfId="0" applyFont="1" applyFill="1" applyBorder="1" applyAlignment="1">
      <alignment horizontal="center"/>
    </xf>
    <xf numFmtId="0" fontId="4" fillId="11" borderId="11" xfId="0" applyFont="1" applyFill="1" applyBorder="1" applyAlignment="1">
      <alignment horizontal="center"/>
    </xf>
    <xf numFmtId="0" fontId="0" fillId="0" borderId="0" xfId="0" quotePrefix="1" applyFont="1" applyFill="1" applyBorder="1" applyAlignment="1">
      <alignment horizontal="center"/>
    </xf>
    <xf numFmtId="0" fontId="0" fillId="0" borderId="7" xfId="0" quotePrefix="1" applyFill="1" applyBorder="1" applyAlignment="1">
      <alignment horizontal="center"/>
    </xf>
    <xf numFmtId="164" fontId="0" fillId="0" borderId="0" xfId="0" applyNumberFormat="1" applyFill="1" applyBorder="1" applyAlignment="1">
      <alignment horizontal="center"/>
    </xf>
    <xf numFmtId="0" fontId="3" fillId="0" borderId="7" xfId="0" quotePrefix="1" applyFont="1" applyFill="1" applyBorder="1" applyAlignment="1">
      <alignment horizontal="center"/>
    </xf>
    <xf numFmtId="0" fontId="0" fillId="0" borderId="5" xfId="0" applyFont="1" applyBorder="1"/>
    <xf numFmtId="0" fontId="0" fillId="3" borderId="5" xfId="0" applyFont="1" applyFill="1" applyBorder="1"/>
    <xf numFmtId="0" fontId="0" fillId="0" borderId="0" xfId="0" applyFill="1" applyBorder="1" applyAlignment="1">
      <alignment horizontal="center"/>
    </xf>
    <xf numFmtId="0" fontId="3" fillId="0" borderId="0" xfId="0" applyFont="1" applyFill="1" applyBorder="1" applyAlignment="1">
      <alignment horizontal="center"/>
    </xf>
    <xf numFmtId="0" fontId="3" fillId="0" borderId="0" xfId="0" quotePrefix="1" applyFont="1" applyFill="1" applyBorder="1" applyAlignment="1">
      <alignment horizontal="center"/>
    </xf>
    <xf numFmtId="0" fontId="15" fillId="11" borderId="12" xfId="0" applyFont="1" applyFill="1" applyBorder="1" applyAlignment="1">
      <alignment vertical="center"/>
    </xf>
    <xf numFmtId="164" fontId="15" fillId="11" borderId="13" xfId="1" applyNumberFormat="1" applyFont="1" applyFill="1" applyBorder="1" applyAlignment="1">
      <alignment horizontal="center"/>
    </xf>
    <xf numFmtId="164" fontId="18" fillId="11" borderId="13" xfId="0" applyNumberFormat="1" applyFont="1" applyFill="1" applyBorder="1" applyAlignment="1">
      <alignment horizontal="center"/>
    </xf>
    <xf numFmtId="164" fontId="18" fillId="11" borderId="14" xfId="0" applyNumberFormat="1" applyFont="1" applyFill="1" applyBorder="1" applyAlignment="1">
      <alignment horizontal="center"/>
    </xf>
    <xf numFmtId="9" fontId="3" fillId="0" borderId="0" xfId="0" applyNumberFormat="1" applyFont="1" applyFill="1" applyBorder="1" applyAlignment="1">
      <alignment horizontal="center"/>
    </xf>
    <xf numFmtId="164" fontId="3" fillId="0" borderId="7" xfId="0" applyNumberFormat="1" applyFont="1" applyFill="1" applyBorder="1" applyAlignment="1">
      <alignment horizontal="center"/>
    </xf>
    <xf numFmtId="9" fontId="18" fillId="11" borderId="13" xfId="0" applyNumberFormat="1" applyFont="1" applyFill="1" applyBorder="1" applyAlignment="1">
      <alignment horizontal="center"/>
    </xf>
    <xf numFmtId="164" fontId="15" fillId="11" borderId="13" xfId="0" applyNumberFormat="1" applyFont="1" applyFill="1" applyBorder="1" applyAlignment="1">
      <alignment horizontal="center"/>
    </xf>
    <xf numFmtId="0" fontId="4" fillId="7" borderId="12" xfId="0" applyFont="1" applyFill="1" applyBorder="1" applyAlignment="1">
      <alignment horizontal="center"/>
    </xf>
    <xf numFmtId="0" fontId="0" fillId="7" borderId="9" xfId="0" applyFont="1" applyFill="1" applyBorder="1" applyAlignment="1">
      <alignment horizontal="center"/>
    </xf>
    <xf numFmtId="3" fontId="4" fillId="7" borderId="9" xfId="0" applyNumberFormat="1" applyFont="1" applyFill="1" applyBorder="1" applyAlignment="1">
      <alignment horizontal="right"/>
    </xf>
    <xf numFmtId="3" fontId="4" fillId="7" borderId="9" xfId="0" applyNumberFormat="1" applyFont="1" applyFill="1" applyBorder="1" applyAlignment="1">
      <alignment horizontal="center"/>
    </xf>
    <xf numFmtId="3" fontId="4" fillId="7" borderId="11" xfId="0" applyNumberFormat="1" applyFont="1" applyFill="1" applyBorder="1" applyAlignment="1">
      <alignment horizontal="center"/>
    </xf>
    <xf numFmtId="0" fontId="4" fillId="13" borderId="13" xfId="0" quotePrefix="1" applyFont="1" applyFill="1" applyBorder="1" applyAlignment="1">
      <alignment horizontal="centerContinuous"/>
    </xf>
    <xf numFmtId="0" fontId="4" fillId="13" borderId="13" xfId="0" applyFont="1" applyFill="1" applyBorder="1" applyAlignment="1">
      <alignment horizontal="centerContinuous"/>
    </xf>
    <xf numFmtId="0" fontId="4" fillId="13" borderId="14" xfId="0" applyFont="1" applyFill="1" applyBorder="1" applyAlignment="1">
      <alignment horizontal="centerContinuous"/>
    </xf>
    <xf numFmtId="3" fontId="0" fillId="0" borderId="16" xfId="0" applyNumberFormat="1" applyFont="1" applyBorder="1" applyAlignment="1">
      <alignment horizontal="right"/>
    </xf>
    <xf numFmtId="3" fontId="0" fillId="0" borderId="2" xfId="0" applyNumberFormat="1" applyFont="1" applyBorder="1" applyAlignment="1">
      <alignment horizontal="right"/>
    </xf>
    <xf numFmtId="3" fontId="0" fillId="0" borderId="2" xfId="0" quotePrefix="1" applyNumberFormat="1" applyFont="1" applyBorder="1" applyAlignment="1">
      <alignment horizontal="right"/>
    </xf>
    <xf numFmtId="3" fontId="0" fillId="0" borderId="3" xfId="0" quotePrefix="1" applyNumberFormat="1" applyFont="1" applyBorder="1" applyAlignment="1">
      <alignment horizontal="right"/>
    </xf>
    <xf numFmtId="0" fontId="4" fillId="13" borderId="8" xfId="0" applyFont="1" applyFill="1" applyBorder="1" applyAlignment="1">
      <alignment horizontal="center"/>
    </xf>
    <xf numFmtId="0" fontId="4" fillId="13" borderId="9" xfId="0" applyFont="1" applyFill="1" applyBorder="1" applyAlignment="1">
      <alignment horizontal="center"/>
    </xf>
    <xf numFmtId="0" fontId="4" fillId="13" borderId="9" xfId="0" applyFont="1" applyFill="1" applyBorder="1" applyAlignment="1">
      <alignment horizontal="center" vertical="center"/>
    </xf>
    <xf numFmtId="0" fontId="4" fillId="13" borderId="11" xfId="0" applyFont="1" applyFill="1" applyBorder="1" applyAlignment="1">
      <alignment horizontal="center" vertical="center"/>
    </xf>
    <xf numFmtId="3" fontId="0" fillId="0" borderId="18" xfId="0" applyNumberFormat="1" applyFont="1" applyBorder="1" applyAlignment="1">
      <alignment horizontal="right"/>
    </xf>
    <xf numFmtId="3" fontId="0" fillId="0" borderId="0" xfId="0" applyNumberFormat="1" applyFont="1" applyBorder="1" applyAlignment="1">
      <alignment horizontal="right"/>
    </xf>
    <xf numFmtId="3" fontId="0" fillId="0" borderId="0" xfId="0" quotePrefix="1" applyNumberFormat="1" applyFont="1" applyBorder="1" applyAlignment="1">
      <alignment horizontal="right"/>
    </xf>
    <xf numFmtId="3" fontId="0" fillId="0" borderId="7" xfId="0" applyNumberFormat="1" applyFont="1" applyBorder="1" applyAlignment="1">
      <alignment horizontal="right"/>
    </xf>
    <xf numFmtId="0" fontId="4" fillId="3" borderId="1" xfId="0" quotePrefix="1" applyFont="1" applyFill="1" applyBorder="1" applyAlignment="1">
      <alignment horizontal="left"/>
    </xf>
    <xf numFmtId="0" fontId="0" fillId="0" borderId="21" xfId="0" applyFont="1" applyBorder="1"/>
    <xf numFmtId="0" fontId="0" fillId="0" borderId="2" xfId="0" applyBorder="1"/>
    <xf numFmtId="3" fontId="0" fillId="0" borderId="7" xfId="0" quotePrefix="1" applyNumberFormat="1" applyFont="1" applyBorder="1" applyAlignment="1">
      <alignment horizontal="right"/>
    </xf>
    <xf numFmtId="0" fontId="0" fillId="0" borderId="22" xfId="0" applyFont="1" applyBorder="1"/>
    <xf numFmtId="0" fontId="0" fillId="0" borderId="0" xfId="0" applyBorder="1"/>
    <xf numFmtId="3" fontId="0" fillId="0" borderId="7" xfId="0" applyNumberFormat="1" applyFont="1" applyFill="1" applyBorder="1" applyAlignment="1">
      <alignment horizontal="right"/>
    </xf>
    <xf numFmtId="3" fontId="0" fillId="0" borderId="17" xfId="0" applyNumberFormat="1" applyFont="1" applyBorder="1" applyAlignment="1">
      <alignment horizontal="right"/>
    </xf>
    <xf numFmtId="3" fontId="0" fillId="0" borderId="9" xfId="0" applyNumberFormat="1" applyFont="1" applyBorder="1" applyAlignment="1">
      <alignment horizontal="right"/>
    </xf>
    <xf numFmtId="3" fontId="0" fillId="0" borderId="9" xfId="0" quotePrefix="1" applyNumberFormat="1" applyFont="1" applyBorder="1" applyAlignment="1">
      <alignment horizontal="right"/>
    </xf>
    <xf numFmtId="3" fontId="0" fillId="0" borderId="11" xfId="0" applyNumberFormat="1" applyFont="1" applyBorder="1" applyAlignment="1">
      <alignment horizontal="right"/>
    </xf>
    <xf numFmtId="0" fontId="0" fillId="0" borderId="23" xfId="0" applyFont="1" applyBorder="1"/>
    <xf numFmtId="0" fontId="0" fillId="0" borderId="9" xfId="0" applyBorder="1"/>
    <xf numFmtId="9" fontId="0" fillId="0" borderId="9" xfId="1" applyFont="1" applyBorder="1" applyAlignment="1">
      <alignment horizontal="center"/>
    </xf>
    <xf numFmtId="9" fontId="0" fillId="0" borderId="11" xfId="1" applyFont="1" applyBorder="1" applyAlignment="1">
      <alignment horizontal="center"/>
    </xf>
    <xf numFmtId="3" fontId="4" fillId="0" borderId="21" xfId="0" applyNumberFormat="1" applyFont="1" applyBorder="1" applyAlignment="1">
      <alignment horizontal="center"/>
    </xf>
    <xf numFmtId="3" fontId="0" fillId="0" borderId="22" xfId="0" applyNumberFormat="1" applyFont="1" applyBorder="1" applyAlignment="1">
      <alignment horizontal="center"/>
    </xf>
    <xf numFmtId="3" fontId="0" fillId="0" borderId="11" xfId="0" quotePrefix="1" applyNumberFormat="1" applyFont="1" applyBorder="1" applyAlignment="1">
      <alignment horizontal="right"/>
    </xf>
    <xf numFmtId="9" fontId="0" fillId="0" borderId="23" xfId="1" applyFont="1" applyBorder="1" applyAlignment="1">
      <alignment horizontal="center"/>
    </xf>
    <xf numFmtId="0" fontId="0" fillId="3" borderId="5" xfId="0" applyFill="1" applyBorder="1"/>
    <xf numFmtId="0" fontId="0" fillId="0" borderId="17" xfId="0" applyFont="1" applyBorder="1"/>
    <xf numFmtId="0" fontId="0" fillId="7" borderId="13" xfId="0" applyFont="1" applyFill="1" applyBorder="1" applyAlignment="1">
      <alignment horizontal="center"/>
    </xf>
    <xf numFmtId="0" fontId="0" fillId="7" borderId="13" xfId="0" applyFill="1" applyBorder="1"/>
    <xf numFmtId="3" fontId="4" fillId="7" borderId="13" xfId="0" applyNumberFormat="1" applyFont="1" applyFill="1" applyBorder="1" applyAlignment="1">
      <alignment horizontal="right"/>
    </xf>
    <xf numFmtId="3" fontId="4" fillId="7" borderId="14" xfId="0" applyNumberFormat="1" applyFont="1" applyFill="1" applyBorder="1" applyAlignment="1">
      <alignment horizontal="right"/>
    </xf>
    <xf numFmtId="0" fontId="21" fillId="0" borderId="0" xfId="0" applyFont="1" applyAlignment="1">
      <alignment horizontal="left" vertical="center" indent="1"/>
    </xf>
    <xf numFmtId="0" fontId="21" fillId="0" borderId="0" xfId="0" applyFont="1" applyAlignment="1">
      <alignment vertical="center"/>
    </xf>
    <xf numFmtId="0" fontId="21" fillId="0" borderId="0" xfId="0" applyFont="1"/>
    <xf numFmtId="0" fontId="24" fillId="0" borderId="26" xfId="0" applyFont="1" applyBorder="1" applyAlignment="1">
      <alignment horizontal="right" vertical="center" wrapText="1"/>
    </xf>
    <xf numFmtId="0" fontId="24" fillId="0" borderId="28" xfId="0" applyFont="1" applyBorder="1" applyAlignment="1">
      <alignment horizontal="right" vertical="center" wrapText="1"/>
    </xf>
    <xf numFmtId="0" fontId="0" fillId="0" borderId="0" xfId="0" applyAlignment="1">
      <alignment horizontal="center"/>
    </xf>
    <xf numFmtId="0" fontId="27" fillId="0" borderId="30" xfId="0" applyFont="1" applyBorder="1" applyAlignment="1">
      <alignment vertical="center" wrapText="1"/>
    </xf>
    <xf numFmtId="0" fontId="27" fillId="0" borderId="26" xfId="0" applyFont="1" applyBorder="1" applyAlignment="1">
      <alignment vertical="center" wrapText="1"/>
    </xf>
    <xf numFmtId="0" fontId="21" fillId="0" borderId="34" xfId="0" applyFont="1" applyBorder="1" applyAlignment="1">
      <alignment vertical="center" wrapText="1"/>
    </xf>
    <xf numFmtId="0" fontId="21" fillId="0" borderId="26" xfId="0" applyFont="1" applyBorder="1" applyAlignment="1">
      <alignment vertical="center" wrapText="1"/>
    </xf>
    <xf numFmtId="0" fontId="21" fillId="0" borderId="30" xfId="0" applyFont="1" applyBorder="1" applyAlignment="1">
      <alignment vertical="center" wrapText="1"/>
    </xf>
    <xf numFmtId="0" fontId="24" fillId="0" borderId="26" xfId="0" applyFont="1" applyBorder="1" applyAlignment="1">
      <alignment vertical="center" wrapText="1"/>
    </xf>
    <xf numFmtId="0" fontId="21" fillId="0" borderId="35" xfId="0" applyFont="1" applyBorder="1" applyAlignment="1">
      <alignment vertical="center" wrapText="1"/>
    </xf>
    <xf numFmtId="0" fontId="24" fillId="0" borderId="0" xfId="0" applyFont="1" applyAlignment="1">
      <alignment horizontal="center" vertical="center" wrapText="1"/>
    </xf>
    <xf numFmtId="0" fontId="21" fillId="0" borderId="0" xfId="0" applyFont="1" applyAlignment="1">
      <alignment vertical="center" wrapText="1"/>
    </xf>
    <xf numFmtId="0" fontId="21" fillId="0" borderId="36" xfId="0" applyFont="1" applyBorder="1" applyAlignment="1">
      <alignment vertical="center" wrapText="1"/>
    </xf>
    <xf numFmtId="0" fontId="24" fillId="0" borderId="0" xfId="0" applyFont="1" applyAlignment="1">
      <alignment horizontal="right" vertical="center" wrapText="1"/>
    </xf>
    <xf numFmtId="0" fontId="24" fillId="0" borderId="41" xfId="0" applyFont="1" applyBorder="1" applyAlignment="1">
      <alignment horizontal="right" vertical="center" wrapText="1"/>
    </xf>
    <xf numFmtId="0" fontId="21" fillId="0" borderId="31" xfId="0" applyFont="1" applyBorder="1" applyAlignment="1">
      <alignment vertical="center" wrapText="1"/>
    </xf>
    <xf numFmtId="0" fontId="24" fillId="0" borderId="34" xfId="0" applyFont="1" applyBorder="1" applyAlignment="1">
      <alignment horizontal="center" vertical="center" wrapText="1"/>
    </xf>
    <xf numFmtId="0" fontId="24" fillId="0" borderId="33" xfId="0" applyFont="1" applyBorder="1" applyAlignment="1">
      <alignment horizontal="right" vertical="center" wrapText="1"/>
    </xf>
    <xf numFmtId="0" fontId="24" fillId="0" borderId="34" xfId="0" applyFont="1" applyBorder="1" applyAlignment="1">
      <alignment horizontal="right" vertical="center" wrapText="1"/>
    </xf>
    <xf numFmtId="0" fontId="24" fillId="0" borderId="0" xfId="0" applyFont="1" applyBorder="1" applyAlignment="1">
      <alignment horizontal="right" vertical="center" wrapText="1"/>
    </xf>
    <xf numFmtId="0" fontId="27" fillId="0" borderId="34" xfId="0" applyFont="1" applyBorder="1" applyAlignment="1">
      <alignment horizontal="center" vertical="center" wrapText="1"/>
    </xf>
    <xf numFmtId="0" fontId="27" fillId="0" borderId="33" xfId="0" applyFont="1" applyBorder="1" applyAlignment="1">
      <alignment horizontal="center" vertical="center" wrapText="1"/>
    </xf>
    <xf numFmtId="0" fontId="24" fillId="0" borderId="43" xfId="0" applyFont="1" applyBorder="1" applyAlignment="1">
      <alignment horizontal="right" vertical="center" wrapText="1"/>
    </xf>
    <xf numFmtId="0" fontId="24" fillId="0" borderId="35" xfId="0" applyFont="1" applyBorder="1" applyAlignment="1">
      <alignment vertical="center" wrapText="1"/>
    </xf>
    <xf numFmtId="3" fontId="24" fillId="0" borderId="0" xfId="0" applyNumberFormat="1" applyFont="1" applyAlignment="1">
      <alignment horizontal="center" vertical="center" wrapText="1"/>
    </xf>
    <xf numFmtId="3" fontId="21" fillId="0" borderId="0" xfId="0" applyNumberFormat="1" applyFont="1" applyAlignment="1">
      <alignment vertical="center" wrapText="1"/>
    </xf>
    <xf numFmtId="3" fontId="24" fillId="0" borderId="36" xfId="0" applyNumberFormat="1" applyFont="1" applyBorder="1" applyAlignment="1">
      <alignment horizontal="right" vertical="center" wrapText="1"/>
    </xf>
    <xf numFmtId="3" fontId="24" fillId="0" borderId="0" xfId="0" applyNumberFormat="1" applyFont="1" applyAlignment="1">
      <alignment horizontal="right" vertical="center" wrapText="1"/>
    </xf>
    <xf numFmtId="3" fontId="24" fillId="0" borderId="0" xfId="0" applyNumberFormat="1" applyFont="1" applyBorder="1" applyAlignment="1">
      <alignment horizontal="right" vertical="center" wrapText="1"/>
    </xf>
    <xf numFmtId="1" fontId="24" fillId="0" borderId="0" xfId="0" applyNumberFormat="1" applyFont="1" applyFill="1" applyBorder="1" applyAlignment="1">
      <alignment horizontal="center" vertical="center" wrapText="1"/>
    </xf>
    <xf numFmtId="0" fontId="27" fillId="0" borderId="35" xfId="0" applyFont="1" applyBorder="1" applyAlignment="1">
      <alignment horizontal="right" vertical="center" wrapText="1"/>
    </xf>
    <xf numFmtId="0" fontId="27" fillId="0" borderId="0" xfId="0" applyFont="1" applyAlignment="1">
      <alignment horizontal="right" vertical="center" wrapText="1"/>
    </xf>
    <xf numFmtId="0" fontId="27" fillId="0" borderId="36" xfId="0" applyFont="1" applyBorder="1" applyAlignment="1">
      <alignment horizontal="right" vertical="center" wrapText="1"/>
    </xf>
    <xf numFmtId="3" fontId="27" fillId="0" borderId="0" xfId="0" applyNumberFormat="1" applyFont="1" applyAlignment="1">
      <alignment horizontal="right" vertical="center" wrapText="1"/>
    </xf>
    <xf numFmtId="3" fontId="27" fillId="0" borderId="36" xfId="0" applyNumberFormat="1" applyFont="1" applyBorder="1" applyAlignment="1">
      <alignment horizontal="right" vertical="center" wrapText="1"/>
    </xf>
    <xf numFmtId="0" fontId="24" fillId="0" borderId="35" xfId="0" applyFont="1" applyBorder="1" applyAlignment="1">
      <alignment horizontal="center" vertical="center" wrapText="1"/>
    </xf>
    <xf numFmtId="0" fontId="24" fillId="0" borderId="36" xfId="0" applyFont="1" applyBorder="1" applyAlignment="1">
      <alignment horizontal="center" vertical="center" wrapText="1"/>
    </xf>
    <xf numFmtId="10" fontId="24" fillId="0" borderId="0" xfId="0" applyNumberFormat="1" applyFont="1" applyAlignment="1">
      <alignment vertical="center" wrapText="1"/>
    </xf>
    <xf numFmtId="10" fontId="24" fillId="0" borderId="36" xfId="0" applyNumberFormat="1" applyFont="1" applyBorder="1" applyAlignment="1">
      <alignment vertical="center" wrapText="1"/>
    </xf>
    <xf numFmtId="9" fontId="24" fillId="0" borderId="0" xfId="0" applyNumberFormat="1" applyFont="1" applyAlignment="1">
      <alignment horizontal="center" vertical="center" wrapText="1"/>
    </xf>
    <xf numFmtId="9" fontId="24" fillId="0" borderId="36" xfId="0" applyNumberFormat="1" applyFont="1" applyBorder="1" applyAlignment="1">
      <alignment horizontal="center" vertical="center" wrapText="1"/>
    </xf>
    <xf numFmtId="0" fontId="24" fillId="0" borderId="44" xfId="0" applyFont="1" applyBorder="1" applyAlignment="1">
      <alignment horizontal="center" vertical="center" wrapText="1"/>
    </xf>
    <xf numFmtId="0" fontId="21" fillId="0" borderId="45" xfId="0" applyFont="1" applyBorder="1" applyAlignment="1">
      <alignment vertical="center" wrapText="1"/>
    </xf>
    <xf numFmtId="0" fontId="24" fillId="0" borderId="36" xfId="0" applyFont="1" applyBorder="1" applyAlignment="1">
      <alignment horizontal="right" vertical="center" wrapText="1"/>
    </xf>
    <xf numFmtId="3" fontId="24" fillId="0" borderId="36" xfId="0" applyNumberFormat="1" applyFont="1" applyBorder="1" applyAlignment="1">
      <alignment horizontal="center" vertical="center" wrapText="1"/>
    </xf>
    <xf numFmtId="1" fontId="0" fillId="0" borderId="0" xfId="0" applyNumberFormat="1" applyAlignment="1">
      <alignment horizontal="center"/>
    </xf>
    <xf numFmtId="10" fontId="24" fillId="0" borderId="0" xfId="0" applyNumberFormat="1" applyFont="1" applyAlignment="1">
      <alignment horizontal="right" vertical="center" wrapText="1" indent="2"/>
    </xf>
    <xf numFmtId="0" fontId="24" fillId="0" borderId="0" xfId="0" applyFont="1" applyAlignment="1">
      <alignment horizontal="left" vertical="center" wrapText="1" indent="1"/>
    </xf>
    <xf numFmtId="9" fontId="24" fillId="0" borderId="45" xfId="0" applyNumberFormat="1" applyFont="1" applyBorder="1" applyAlignment="1">
      <alignment horizontal="right" vertical="center" wrapText="1"/>
    </xf>
    <xf numFmtId="0" fontId="27" fillId="0" borderId="31" xfId="0" applyFont="1" applyBorder="1" applyAlignment="1">
      <alignment horizontal="center" vertical="center" wrapText="1"/>
    </xf>
    <xf numFmtId="0" fontId="27" fillId="0" borderId="34" xfId="0" applyFont="1" applyBorder="1" applyAlignment="1">
      <alignment horizontal="right" vertical="center" wrapText="1"/>
    </xf>
    <xf numFmtId="0" fontId="27" fillId="0" borderId="33" xfId="0" applyFont="1" applyBorder="1" applyAlignment="1">
      <alignment horizontal="right" vertical="center" wrapText="1"/>
    </xf>
    <xf numFmtId="3" fontId="27" fillId="0" borderId="34" xfId="0" applyNumberFormat="1" applyFont="1" applyBorder="1" applyAlignment="1">
      <alignment horizontal="right" vertical="center" wrapText="1"/>
    </xf>
    <xf numFmtId="3" fontId="27" fillId="0" borderId="33" xfId="0" applyNumberFormat="1" applyFont="1" applyBorder="1" applyAlignment="1">
      <alignment horizontal="right" vertical="center" wrapText="1"/>
    </xf>
    <xf numFmtId="0" fontId="24" fillId="0" borderId="31" xfId="0" applyFont="1" applyBorder="1" applyAlignment="1">
      <alignment horizontal="center" vertical="center" wrapText="1"/>
    </xf>
    <xf numFmtId="3" fontId="24" fillId="0" borderId="34" xfId="0" applyNumberFormat="1" applyFont="1" applyBorder="1" applyAlignment="1">
      <alignment horizontal="center" vertical="center" wrapText="1"/>
    </xf>
    <xf numFmtId="0" fontId="24" fillId="0" borderId="33" xfId="0" applyFont="1" applyBorder="1" applyAlignment="1">
      <alignment horizontal="center" vertical="center" wrapText="1"/>
    </xf>
    <xf numFmtId="10" fontId="24" fillId="0" borderId="34" xfId="0" applyNumberFormat="1" applyFont="1" applyBorder="1" applyAlignment="1">
      <alignment vertical="center" wrapText="1"/>
    </xf>
    <xf numFmtId="10" fontId="24" fillId="0" borderId="33" xfId="0" applyNumberFormat="1" applyFont="1" applyBorder="1" applyAlignment="1">
      <alignment vertical="center" wrapText="1"/>
    </xf>
    <xf numFmtId="9" fontId="24" fillId="0" borderId="34" xfId="0" applyNumberFormat="1" applyFont="1" applyBorder="1" applyAlignment="1">
      <alignment horizontal="center" vertical="center" wrapText="1"/>
    </xf>
    <xf numFmtId="9" fontId="24" fillId="0" borderId="33" xfId="0" applyNumberFormat="1" applyFont="1" applyBorder="1" applyAlignment="1">
      <alignment horizontal="center" vertical="center" wrapText="1"/>
    </xf>
    <xf numFmtId="0" fontId="24" fillId="0" borderId="46" xfId="0" applyFont="1" applyBorder="1" applyAlignment="1">
      <alignment horizontal="center" vertical="center" wrapText="1"/>
    </xf>
    <xf numFmtId="10" fontId="24" fillId="0" borderId="47" xfId="0" applyNumberFormat="1" applyFont="1" applyBorder="1" applyAlignment="1">
      <alignment vertical="center" wrapText="1"/>
    </xf>
    <xf numFmtId="10" fontId="24" fillId="0" borderId="48" xfId="0" applyNumberFormat="1" applyFont="1" applyBorder="1" applyAlignment="1">
      <alignment vertical="center" wrapText="1"/>
    </xf>
    <xf numFmtId="0" fontId="21" fillId="0" borderId="47" xfId="0" applyFont="1" applyBorder="1" applyAlignment="1">
      <alignment vertical="center" wrapText="1"/>
    </xf>
    <xf numFmtId="0" fontId="21" fillId="0" borderId="49" xfId="0" applyFont="1" applyBorder="1" applyAlignment="1">
      <alignment vertical="center" wrapText="1"/>
    </xf>
    <xf numFmtId="0" fontId="24" fillId="0" borderId="31" xfId="0" applyFont="1" applyBorder="1" applyAlignment="1">
      <alignment vertical="center" wrapText="1"/>
    </xf>
    <xf numFmtId="3" fontId="24" fillId="0" borderId="33" xfId="0" applyNumberFormat="1" applyFont="1" applyBorder="1" applyAlignment="1">
      <alignment horizontal="right" vertical="center" wrapText="1"/>
    </xf>
    <xf numFmtId="3" fontId="24" fillId="0" borderId="34" xfId="0" applyNumberFormat="1" applyFont="1" applyBorder="1" applyAlignment="1">
      <alignment horizontal="right" vertical="center" wrapText="1"/>
    </xf>
    <xf numFmtId="10" fontId="0" fillId="0" borderId="0" xfId="0" applyNumberFormat="1"/>
    <xf numFmtId="0" fontId="28" fillId="0" borderId="0" xfId="0" applyFont="1" applyAlignment="1">
      <alignment horizontal="justify" vertical="center"/>
    </xf>
    <xf numFmtId="3" fontId="0" fillId="0" borderId="0" xfId="0" applyNumberFormat="1"/>
    <xf numFmtId="3" fontId="24" fillId="0" borderId="33" xfId="0" applyNumberFormat="1" applyFont="1" applyBorder="1" applyAlignment="1">
      <alignment horizontal="center" vertical="center" wrapText="1"/>
    </xf>
    <xf numFmtId="0" fontId="4" fillId="0" borderId="1" xfId="0" applyFont="1" applyFill="1" applyBorder="1"/>
    <xf numFmtId="3" fontId="3" fillId="0" borderId="2" xfId="0" quotePrefix="1" applyNumberFormat="1" applyFont="1" applyBorder="1" applyAlignment="1">
      <alignment horizontal="right"/>
    </xf>
    <xf numFmtId="0" fontId="10" fillId="11" borderId="2" xfId="0" applyFont="1" applyFill="1" applyBorder="1" applyAlignment="1">
      <alignment horizontal="center"/>
    </xf>
    <xf numFmtId="0" fontId="10" fillId="11" borderId="2" xfId="0" applyFont="1" applyFill="1" applyBorder="1" applyAlignment="1">
      <alignment horizontal="left"/>
    </xf>
    <xf numFmtId="0" fontId="4" fillId="11" borderId="2" xfId="0" applyFont="1" applyFill="1" applyBorder="1" applyAlignment="1">
      <alignment horizontal="center"/>
    </xf>
    <xf numFmtId="0" fontId="5" fillId="3" borderId="0" xfId="0" applyFont="1" applyFill="1"/>
    <xf numFmtId="0" fontId="0" fillId="0" borderId="50" xfId="0" applyBorder="1"/>
    <xf numFmtId="0" fontId="0" fillId="0" borderId="20" xfId="0" applyBorder="1"/>
    <xf numFmtId="0" fontId="0" fillId="0" borderId="51" xfId="0" applyBorder="1"/>
    <xf numFmtId="0" fontId="14" fillId="0" borderId="50" xfId="0" applyFont="1" applyBorder="1"/>
    <xf numFmtId="0" fontId="14" fillId="0" borderId="20" xfId="0" applyFont="1" applyBorder="1"/>
    <xf numFmtId="0" fontId="14" fillId="0" borderId="51" xfId="0" applyFont="1" applyBorder="1"/>
    <xf numFmtId="3" fontId="3" fillId="0" borderId="3" xfId="0" quotePrefix="1" applyNumberFormat="1" applyFont="1" applyBorder="1" applyAlignment="1">
      <alignment horizontal="right"/>
    </xf>
    <xf numFmtId="0" fontId="13" fillId="0" borderId="0" xfId="3" applyFont="1"/>
    <xf numFmtId="0" fontId="13" fillId="0" borderId="0" xfId="3" applyFont="1" applyBorder="1"/>
    <xf numFmtId="0" fontId="0" fillId="0" borderId="0" xfId="0" applyFont="1" applyFill="1" applyBorder="1"/>
    <xf numFmtId="3" fontId="0" fillId="0" borderId="0" xfId="0" quotePrefix="1" applyNumberFormat="1" applyFont="1" applyFill="1" applyBorder="1" applyAlignment="1">
      <alignment horizontal="right"/>
    </xf>
    <xf numFmtId="9" fontId="0" fillId="0" borderId="2" xfId="0" quotePrefix="1" applyNumberFormat="1" applyFont="1" applyFill="1" applyBorder="1" applyAlignment="1">
      <alignment horizontal="center"/>
    </xf>
    <xf numFmtId="0" fontId="0" fillId="0" borderId="2" xfId="0" quotePrefix="1" applyFont="1" applyFill="1" applyBorder="1" applyAlignment="1">
      <alignment horizontal="center"/>
    </xf>
    <xf numFmtId="0" fontId="0" fillId="0" borderId="8" xfId="0" applyFont="1" applyFill="1" applyBorder="1"/>
    <xf numFmtId="0" fontId="0" fillId="0" borderId="9" xfId="0" quotePrefix="1" applyFont="1" applyFill="1" applyBorder="1" applyAlignment="1">
      <alignment horizontal="center"/>
    </xf>
    <xf numFmtId="0" fontId="0" fillId="0" borderId="1" xfId="0" applyFont="1" applyBorder="1"/>
    <xf numFmtId="0" fontId="0" fillId="0" borderId="9" xfId="0" applyFont="1" applyFill="1" applyBorder="1"/>
    <xf numFmtId="0" fontId="13" fillId="3" borderId="0" xfId="0" applyFont="1" applyFill="1"/>
    <xf numFmtId="0" fontId="31" fillId="7" borderId="2" xfId="0" applyFont="1" applyFill="1" applyBorder="1" applyAlignment="1">
      <alignment horizontal="centerContinuous"/>
    </xf>
    <xf numFmtId="0" fontId="19" fillId="7" borderId="2" xfId="0" applyFont="1" applyFill="1" applyBorder="1" applyAlignment="1">
      <alignment horizontal="centerContinuous"/>
    </xf>
    <xf numFmtId="0" fontId="19" fillId="7" borderId="3" xfId="0" applyFont="1" applyFill="1" applyBorder="1" applyAlignment="1">
      <alignment horizontal="centerContinuous"/>
    </xf>
    <xf numFmtId="0" fontId="19" fillId="7" borderId="0" xfId="0" applyFont="1" applyFill="1" applyBorder="1" applyAlignment="1">
      <alignment horizontal="center" vertical="center"/>
    </xf>
    <xf numFmtId="0" fontId="19" fillId="7" borderId="7" xfId="0" applyFont="1" applyFill="1" applyBorder="1" applyAlignment="1">
      <alignment horizontal="center" vertical="center"/>
    </xf>
    <xf numFmtId="3" fontId="13" fillId="0" borderId="2" xfId="0" applyNumberFormat="1" applyFont="1" applyBorder="1" applyAlignment="1">
      <alignment horizontal="right"/>
    </xf>
    <xf numFmtId="3" fontId="13" fillId="0" borderId="3" xfId="0" applyNumberFormat="1" applyFont="1" applyBorder="1" applyAlignment="1">
      <alignment horizontal="right"/>
    </xf>
    <xf numFmtId="3" fontId="13" fillId="0" borderId="9" xfId="0" quotePrefix="1" applyNumberFormat="1" applyFont="1" applyBorder="1" applyAlignment="1">
      <alignment horizontal="right"/>
    </xf>
    <xf numFmtId="3" fontId="13" fillId="0" borderId="11" xfId="0" quotePrefix="1" applyNumberFormat="1" applyFont="1" applyBorder="1" applyAlignment="1">
      <alignment horizontal="right"/>
    </xf>
    <xf numFmtId="3" fontId="13" fillId="0" borderId="2" xfId="0" quotePrefix="1" applyNumberFormat="1" applyFont="1" applyBorder="1" applyAlignment="1">
      <alignment horizontal="right"/>
    </xf>
    <xf numFmtId="3" fontId="13" fillId="0" borderId="3" xfId="0" quotePrefix="1" applyNumberFormat="1" applyFont="1" applyBorder="1" applyAlignment="1">
      <alignment horizontal="right"/>
    </xf>
    <xf numFmtId="3" fontId="13" fillId="0" borderId="0" xfId="0" quotePrefix="1" applyNumberFormat="1" applyFont="1" applyBorder="1" applyAlignment="1">
      <alignment horizontal="right"/>
    </xf>
    <xf numFmtId="3" fontId="13" fillId="0" borderId="7" xfId="0" quotePrefix="1" applyNumberFormat="1" applyFont="1" applyBorder="1" applyAlignment="1">
      <alignment horizontal="right"/>
    </xf>
    <xf numFmtId="3" fontId="13" fillId="0" borderId="0" xfId="0" applyNumberFormat="1" applyFont="1" applyBorder="1" applyAlignment="1">
      <alignment horizontal="right"/>
    </xf>
    <xf numFmtId="3" fontId="13" fillId="0" borderId="7" xfId="0" applyNumberFormat="1" applyFont="1" applyBorder="1" applyAlignment="1">
      <alignment horizontal="right"/>
    </xf>
    <xf numFmtId="3" fontId="19" fillId="6" borderId="12" xfId="0" applyNumberFormat="1" applyFont="1" applyFill="1" applyBorder="1" applyAlignment="1">
      <alignment horizontal="right"/>
    </xf>
    <xf numFmtId="3" fontId="19" fillId="6" borderId="13" xfId="0" applyNumberFormat="1" applyFont="1" applyFill="1" applyBorder="1" applyAlignment="1">
      <alignment horizontal="right"/>
    </xf>
    <xf numFmtId="3" fontId="19" fillId="6" borderId="14" xfId="0" applyNumberFormat="1" applyFont="1" applyFill="1" applyBorder="1" applyAlignment="1">
      <alignment horizontal="right"/>
    </xf>
    <xf numFmtId="0" fontId="0" fillId="3" borderId="0" xfId="0" applyFont="1" applyFill="1"/>
    <xf numFmtId="3" fontId="0" fillId="0" borderId="11" xfId="0" applyNumberFormat="1" applyFont="1" applyBorder="1" applyAlignment="1">
      <alignment horizontal="right"/>
    </xf>
    <xf numFmtId="3" fontId="0" fillId="0" borderId="7" xfId="0" applyNumberFormat="1" applyFont="1" applyBorder="1" applyAlignment="1">
      <alignment horizontal="right"/>
    </xf>
    <xf numFmtId="3" fontId="0" fillId="0" borderId="0" xfId="0" applyNumberFormat="1" applyFont="1" applyBorder="1" applyAlignment="1">
      <alignment horizontal="right"/>
    </xf>
    <xf numFmtId="0" fontId="0" fillId="7" borderId="2" xfId="0" applyFont="1" applyFill="1" applyBorder="1" applyAlignment="1">
      <alignment horizontal="centerContinuous"/>
    </xf>
    <xf numFmtId="0" fontId="4" fillId="7" borderId="2" xfId="0" applyFont="1" applyFill="1" applyBorder="1" applyAlignment="1">
      <alignment horizontal="center" vertical="center"/>
    </xf>
    <xf numFmtId="0" fontId="13" fillId="0" borderId="1" xfId="0" applyFont="1" applyBorder="1"/>
    <xf numFmtId="0" fontId="0" fillId="0" borderId="1" xfId="0" applyBorder="1"/>
    <xf numFmtId="0" fontId="0" fillId="0" borderId="8" xfId="0" applyBorder="1"/>
    <xf numFmtId="3" fontId="0" fillId="0" borderId="3" xfId="0" applyNumberFormat="1" applyFill="1" applyBorder="1" applyAlignment="1">
      <alignment horizontal="center" vertical="center"/>
    </xf>
    <xf numFmtId="3" fontId="0" fillId="0" borderId="11" xfId="0" applyNumberFormat="1" applyFill="1" applyBorder="1" applyAlignment="1">
      <alignment horizontal="center" vertical="center"/>
    </xf>
    <xf numFmtId="3" fontId="0" fillId="0" borderId="7" xfId="0" applyNumberFormat="1" applyFill="1" applyBorder="1" applyAlignment="1">
      <alignment horizontal="center" vertical="center"/>
    </xf>
    <xf numFmtId="0" fontId="0" fillId="0" borderId="9" xfId="0" applyBorder="1"/>
    <xf numFmtId="0" fontId="13" fillId="0" borderId="1" xfId="3" applyFont="1" applyBorder="1"/>
    <xf numFmtId="0" fontId="13" fillId="0" borderId="5" xfId="3" applyFont="1" applyBorder="1"/>
    <xf numFmtId="0" fontId="13" fillId="0" borderId="8" xfId="3" applyFont="1" applyBorder="1"/>
    <xf numFmtId="3" fontId="0" fillId="0" borderId="0" xfId="0" applyNumberFormat="1" applyFont="1" applyBorder="1"/>
    <xf numFmtId="3" fontId="0" fillId="0" borderId="0" xfId="0" applyNumberFormat="1" applyFont="1" applyFill="1" applyBorder="1"/>
    <xf numFmtId="0" fontId="4" fillId="6" borderId="1" xfId="0" applyFont="1" applyFill="1" applyBorder="1" applyAlignment="1">
      <alignment horizontal="centerContinuous"/>
    </xf>
    <xf numFmtId="0" fontId="0" fillId="6" borderId="2" xfId="0" applyFont="1" applyFill="1" applyBorder="1" applyAlignment="1">
      <alignment horizontal="centerContinuous"/>
    </xf>
    <xf numFmtId="3" fontId="19" fillId="6" borderId="1" xfId="0" applyNumberFormat="1" applyFont="1" applyFill="1" applyBorder="1" applyAlignment="1">
      <alignment horizontal="right"/>
    </xf>
    <xf numFmtId="3" fontId="19" fillId="6" borderId="2" xfId="0" applyNumberFormat="1" applyFont="1" applyFill="1" applyBorder="1" applyAlignment="1">
      <alignment horizontal="right"/>
    </xf>
    <xf numFmtId="3" fontId="19" fillId="6" borderId="3" xfId="0" applyNumberFormat="1" applyFont="1" applyFill="1" applyBorder="1" applyAlignment="1">
      <alignment horizontal="right"/>
    </xf>
    <xf numFmtId="164" fontId="0" fillId="0" borderId="0" xfId="0" quotePrefix="1" applyNumberFormat="1" applyFont="1" applyFill="1" applyBorder="1" applyAlignment="1">
      <alignment horizontal="center"/>
    </xf>
    <xf numFmtId="164" fontId="0" fillId="0" borderId="0" xfId="0" applyNumberFormat="1" applyFont="1" applyBorder="1" applyAlignment="1">
      <alignment horizontal="center"/>
    </xf>
    <xf numFmtId="0" fontId="4" fillId="13" borderId="13" xfId="0" quotePrefix="1" applyFont="1" applyFill="1" applyBorder="1" applyAlignment="1">
      <alignment horizontal="center"/>
    </xf>
    <xf numFmtId="0" fontId="0" fillId="0" borderId="2" xfId="0" applyFont="1" applyBorder="1" applyAlignment="1">
      <alignment horizontal="center"/>
    </xf>
    <xf numFmtId="0" fontId="10" fillId="13" borderId="1" xfId="0" applyFont="1" applyFill="1" applyBorder="1" applyAlignment="1">
      <alignment horizontal="centerContinuous"/>
    </xf>
    <xf numFmtId="0" fontId="0" fillId="13" borderId="2" xfId="0" applyFont="1" applyFill="1" applyBorder="1" applyAlignment="1">
      <alignment horizontal="centerContinuous"/>
    </xf>
    <xf numFmtId="0" fontId="0" fillId="13" borderId="13" xfId="0" applyFont="1" applyFill="1" applyBorder="1"/>
    <xf numFmtId="0" fontId="0" fillId="13" borderId="14" xfId="0" applyFont="1" applyFill="1" applyBorder="1"/>
    <xf numFmtId="0" fontId="3" fillId="0" borderId="2" xfId="0" applyFont="1" applyFill="1" applyBorder="1" applyAlignment="1">
      <alignment horizontal="center"/>
    </xf>
    <xf numFmtId="0" fontId="0" fillId="0" borderId="2" xfId="0" applyFill="1" applyBorder="1"/>
    <xf numFmtId="0" fontId="0" fillId="0" borderId="7" xfId="0" applyFill="1" applyBorder="1"/>
    <xf numFmtId="3" fontId="0" fillId="0" borderId="0" xfId="0" applyNumberFormat="1" applyFont="1" applyFill="1" applyBorder="1" applyAlignment="1"/>
    <xf numFmtId="0" fontId="13" fillId="0" borderId="0" xfId="0" applyFont="1" applyFill="1" applyBorder="1" applyAlignment="1"/>
    <xf numFmtId="0" fontId="0" fillId="0" borderId="0" xfId="0" quotePrefix="1" applyFont="1" applyFill="1" applyBorder="1" applyAlignment="1"/>
    <xf numFmtId="0" fontId="0" fillId="0" borderId="9" xfId="0" quotePrefix="1" applyFont="1" applyFill="1" applyBorder="1" applyAlignment="1"/>
    <xf numFmtId="3" fontId="13" fillId="0" borderId="0" xfId="0" applyNumberFormat="1" applyFont="1" applyFill="1" applyBorder="1" applyAlignment="1"/>
    <xf numFmtId="9" fontId="0" fillId="0" borderId="9" xfId="1" applyFont="1" applyFill="1" applyBorder="1" applyAlignment="1"/>
    <xf numFmtId="3" fontId="4" fillId="0" borderId="2" xfId="0" applyNumberFormat="1" applyFont="1" applyFill="1" applyBorder="1"/>
    <xf numFmtId="3" fontId="4" fillId="0" borderId="2" xfId="0" applyNumberFormat="1" applyFont="1" applyFill="1" applyBorder="1" applyAlignment="1"/>
    <xf numFmtId="3" fontId="3" fillId="0" borderId="0" xfId="0" applyNumberFormat="1" applyFont="1" applyBorder="1"/>
    <xf numFmtId="3" fontId="3" fillId="0" borderId="7" xfId="0" applyNumberFormat="1" applyFont="1" applyBorder="1" applyAlignment="1">
      <alignment horizontal="center"/>
    </xf>
    <xf numFmtId="0" fontId="0" fillId="8" borderId="14" xfId="0" applyFont="1" applyFill="1" applyBorder="1"/>
    <xf numFmtId="0" fontId="0" fillId="9" borderId="2" xfId="0" applyFont="1" applyFill="1" applyBorder="1"/>
    <xf numFmtId="0" fontId="4" fillId="9" borderId="0" xfId="0" quotePrefix="1" applyFont="1" applyFill="1" applyBorder="1" applyAlignment="1">
      <alignment horizontal="center"/>
    </xf>
    <xf numFmtId="3" fontId="4" fillId="9" borderId="0" xfId="0" applyNumberFormat="1" applyFont="1" applyFill="1" applyBorder="1" applyAlignment="1">
      <alignment horizontal="center"/>
    </xf>
    <xf numFmtId="3" fontId="0" fillId="0" borderId="0" xfId="0" applyNumberFormat="1" applyFont="1" applyBorder="1" applyAlignment="1">
      <alignment vertical="center"/>
    </xf>
    <xf numFmtId="3" fontId="0" fillId="0" borderId="0" xfId="0" applyNumberFormat="1" applyBorder="1" applyAlignment="1">
      <alignment vertical="center"/>
    </xf>
    <xf numFmtId="3" fontId="0" fillId="0" borderId="0" xfId="0" applyNumberFormat="1" applyFont="1" applyFill="1" applyBorder="1" applyAlignment="1">
      <alignment horizontal="right" vertical="center"/>
    </xf>
    <xf numFmtId="3" fontId="0" fillId="0" borderId="0" xfId="0" applyNumberFormat="1" applyFont="1" applyFill="1" applyBorder="1" applyAlignment="1">
      <alignment vertical="center"/>
    </xf>
    <xf numFmtId="0" fontId="0" fillId="0" borderId="0" xfId="0" applyBorder="1" applyAlignment="1">
      <alignment vertical="center"/>
    </xf>
    <xf numFmtId="0" fontId="4" fillId="9" borderId="7" xfId="0" applyFont="1" applyFill="1" applyBorder="1" applyAlignment="1">
      <alignment horizontal="center"/>
    </xf>
    <xf numFmtId="3" fontId="0" fillId="0" borderId="2" xfId="0" applyNumberFormat="1" applyFont="1" applyBorder="1"/>
    <xf numFmtId="3" fontId="0" fillId="0" borderId="2" xfId="0" applyNumberFormat="1" applyFont="1" applyBorder="1" applyAlignment="1">
      <alignment vertical="center"/>
    </xf>
    <xf numFmtId="0" fontId="0" fillId="0" borderId="3" xfId="0" applyFont="1" applyBorder="1"/>
    <xf numFmtId="0" fontId="15" fillId="9" borderId="12" xfId="0" applyFont="1" applyFill="1" applyBorder="1"/>
    <xf numFmtId="0" fontId="15" fillId="9" borderId="13" xfId="0" applyFont="1" applyFill="1" applyBorder="1"/>
    <xf numFmtId="3" fontId="15" fillId="9" borderId="13" xfId="0" applyNumberFormat="1" applyFont="1" applyFill="1" applyBorder="1" applyAlignment="1">
      <alignment horizontal="center"/>
    </xf>
    <xf numFmtId="3" fontId="18" fillId="9" borderId="13" xfId="0" applyNumberFormat="1" applyFont="1" applyFill="1" applyBorder="1" applyAlignment="1">
      <alignment horizontal="right"/>
    </xf>
    <xf numFmtId="3" fontId="15" fillId="9" borderId="13" xfId="0" applyNumberFormat="1" applyFont="1" applyFill="1" applyBorder="1" applyAlignment="1">
      <alignment horizontal="right"/>
    </xf>
    <xf numFmtId="0" fontId="0" fillId="9" borderId="13" xfId="0" applyFont="1" applyFill="1" applyBorder="1"/>
    <xf numFmtId="0" fontId="0" fillId="9" borderId="14" xfId="0" applyFont="1" applyFill="1" applyBorder="1"/>
    <xf numFmtId="0" fontId="0" fillId="9" borderId="2" xfId="0" applyFont="1" applyFill="1" applyBorder="1" applyAlignment="1">
      <alignment horizontal="centerContinuous"/>
    </xf>
    <xf numFmtId="0" fontId="11" fillId="9" borderId="2" xfId="0" applyFont="1" applyFill="1" applyBorder="1" applyAlignment="1">
      <alignment horizontal="centerContinuous"/>
    </xf>
    <xf numFmtId="164" fontId="15" fillId="11" borderId="13" xfId="0" applyNumberFormat="1" applyFont="1" applyFill="1" applyBorder="1"/>
    <xf numFmtId="164" fontId="15" fillId="11" borderId="13" xfId="0" applyNumberFormat="1" applyFont="1" applyFill="1" applyBorder="1" applyAlignment="1">
      <alignment horizontal="right"/>
    </xf>
    <xf numFmtId="164" fontId="0" fillId="0" borderId="7" xfId="0" applyNumberFormat="1" applyFill="1" applyBorder="1" applyAlignment="1">
      <alignment horizontal="right"/>
    </xf>
    <xf numFmtId="9" fontId="15" fillId="11" borderId="13" xfId="0" applyNumberFormat="1" applyFont="1" applyFill="1" applyBorder="1" applyAlignment="1">
      <alignment horizontal="center"/>
    </xf>
    <xf numFmtId="0" fontId="0" fillId="0" borderId="0" xfId="0" applyAlignment="1">
      <alignment horizontal="center" vertical="center"/>
    </xf>
    <xf numFmtId="0" fontId="0" fillId="0" borderId="2" xfId="0" quotePrefix="1" applyFill="1" applyBorder="1" applyAlignment="1">
      <alignment horizontal="center"/>
    </xf>
    <xf numFmtId="3" fontId="0" fillId="0" borderId="0" xfId="0" quotePrefix="1" applyNumberFormat="1" applyFill="1" applyBorder="1" applyAlignment="1">
      <alignment horizontal="center"/>
    </xf>
    <xf numFmtId="0" fontId="14" fillId="0" borderId="0" xfId="0" quotePrefix="1" applyFont="1" applyFill="1" applyBorder="1" applyAlignment="1">
      <alignment horizontal="center" vertical="center"/>
    </xf>
    <xf numFmtId="164" fontId="0" fillId="0" borderId="0" xfId="0" applyNumberFormat="1" applyFill="1" applyBorder="1" applyAlignment="1">
      <alignment horizontal="right"/>
    </xf>
    <xf numFmtId="164" fontId="0" fillId="0" borderId="0" xfId="0" applyNumberFormat="1" applyFont="1" applyFill="1" applyBorder="1" applyAlignment="1">
      <alignment horizontal="center"/>
    </xf>
    <xf numFmtId="3" fontId="15" fillId="11" borderId="13" xfId="0" quotePrefix="1" applyNumberFormat="1" applyFont="1" applyFill="1" applyBorder="1" applyAlignment="1">
      <alignment horizontal="center"/>
    </xf>
    <xf numFmtId="0" fontId="19" fillId="3" borderId="12" xfId="0" applyFont="1" applyFill="1" applyBorder="1"/>
    <xf numFmtId="3" fontId="19" fillId="0" borderId="0" xfId="0" applyNumberFormat="1" applyFont="1" applyFill="1" applyBorder="1" applyAlignment="1"/>
    <xf numFmtId="0" fontId="19" fillId="3" borderId="12" xfId="0" applyFont="1" applyFill="1" applyBorder="1" applyAlignment="1">
      <alignment horizontal="center"/>
    </xf>
    <xf numFmtId="164" fontId="19" fillId="3" borderId="14" xfId="0" applyNumberFormat="1" applyFont="1" applyFill="1" applyBorder="1" applyAlignment="1">
      <alignment horizontal="center"/>
    </xf>
    <xf numFmtId="0" fontId="0" fillId="14" borderId="0" xfId="0" applyFont="1" applyFill="1"/>
    <xf numFmtId="0" fontId="7" fillId="14" borderId="0" xfId="0" applyFont="1" applyFill="1" applyAlignment="1">
      <alignment vertical="center"/>
    </xf>
    <xf numFmtId="0" fontId="0" fillId="14" borderId="0" xfId="0" applyFont="1" applyFill="1" applyAlignment="1">
      <alignment vertical="center"/>
    </xf>
    <xf numFmtId="0" fontId="4" fillId="14" borderId="0" xfId="0" applyFont="1" applyFill="1" applyAlignment="1">
      <alignment vertical="center"/>
    </xf>
    <xf numFmtId="0" fontId="4" fillId="14" borderId="0" xfId="0" applyFont="1" applyFill="1" applyAlignment="1">
      <alignment horizontal="left" vertical="center"/>
    </xf>
    <xf numFmtId="0" fontId="4" fillId="14" borderId="0" xfId="0" applyFont="1" applyFill="1" applyAlignment="1">
      <alignment horizontal="right" vertical="center"/>
    </xf>
    <xf numFmtId="0" fontId="4" fillId="15" borderId="1" xfId="0" applyFont="1" applyFill="1" applyBorder="1" applyAlignment="1">
      <alignment horizontal="centerContinuous"/>
    </xf>
    <xf numFmtId="0" fontId="4" fillId="15" borderId="2" xfId="0" applyFont="1" applyFill="1" applyBorder="1" applyAlignment="1">
      <alignment horizontal="centerContinuous"/>
    </xf>
    <xf numFmtId="0" fontId="0" fillId="15" borderId="2" xfId="0" applyFont="1" applyFill="1" applyBorder="1" applyAlignment="1">
      <alignment horizontal="centerContinuous"/>
    </xf>
    <xf numFmtId="0" fontId="0" fillId="15" borderId="3" xfId="0" applyFont="1" applyFill="1" applyBorder="1" applyAlignment="1">
      <alignment horizontal="centerContinuous"/>
    </xf>
    <xf numFmtId="0" fontId="0" fillId="16" borderId="1" xfId="0" applyFill="1" applyBorder="1"/>
    <xf numFmtId="0" fontId="0" fillId="16" borderId="2" xfId="0" applyFill="1" applyBorder="1"/>
    <xf numFmtId="0" fontId="4" fillId="16" borderId="2" xfId="0" applyFont="1" applyFill="1" applyBorder="1" applyAlignment="1">
      <alignment horizontal="center"/>
    </xf>
    <xf numFmtId="0" fontId="4" fillId="16" borderId="3" xfId="0" applyFont="1" applyFill="1" applyBorder="1" applyAlignment="1">
      <alignment horizontal="center"/>
    </xf>
    <xf numFmtId="0" fontId="0" fillId="0" borderId="0" xfId="0"/>
    <xf numFmtId="0" fontId="4" fillId="6" borderId="12" xfId="0" applyFont="1" applyFill="1" applyBorder="1"/>
    <xf numFmtId="0" fontId="0" fillId="6" borderId="14" xfId="0" applyFont="1" applyFill="1" applyBorder="1"/>
    <xf numFmtId="0" fontId="10" fillId="7" borderId="1" xfId="0" applyFont="1" applyFill="1" applyBorder="1" applyAlignment="1">
      <alignment horizontal="centerContinuous"/>
    </xf>
    <xf numFmtId="0" fontId="0" fillId="7" borderId="3" xfId="0" applyFont="1" applyFill="1" applyBorder="1" applyAlignment="1">
      <alignment horizontal="centerContinuous"/>
    </xf>
    <xf numFmtId="0" fontId="4" fillId="7" borderId="12" xfId="0" applyFont="1" applyFill="1" applyBorder="1" applyAlignment="1">
      <alignment horizontal="center" vertical="center"/>
    </xf>
    <xf numFmtId="0" fontId="4" fillId="7" borderId="0" xfId="0" applyFont="1" applyFill="1" applyBorder="1" applyAlignment="1">
      <alignment horizontal="center" vertical="center"/>
    </xf>
    <xf numFmtId="3" fontId="0" fillId="0" borderId="1" xfId="0" applyNumberFormat="1" applyFont="1" applyBorder="1" applyAlignment="1">
      <alignment horizontal="right"/>
    </xf>
    <xf numFmtId="3" fontId="0" fillId="0" borderId="2" xfId="0" applyNumberFormat="1" applyFont="1" applyBorder="1" applyAlignment="1">
      <alignment horizontal="right"/>
    </xf>
    <xf numFmtId="0" fontId="0" fillId="0" borderId="0" xfId="0" applyFont="1" applyBorder="1"/>
    <xf numFmtId="3" fontId="0" fillId="0" borderId="5" xfId="0" applyNumberFormat="1" applyFont="1" applyBorder="1" applyAlignment="1">
      <alignment horizontal="right"/>
    </xf>
    <xf numFmtId="3" fontId="3" fillId="0" borderId="0" xfId="0" quotePrefix="1" applyNumberFormat="1" applyFont="1" applyBorder="1" applyAlignment="1">
      <alignment horizontal="right"/>
    </xf>
    <xf numFmtId="3" fontId="3" fillId="0" borderId="7" xfId="0" quotePrefix="1" applyNumberFormat="1" applyFont="1" applyBorder="1" applyAlignment="1">
      <alignment horizontal="right"/>
    </xf>
    <xf numFmtId="3" fontId="0" fillId="0" borderId="8" xfId="0" applyNumberFormat="1" applyFont="1" applyBorder="1" applyAlignment="1">
      <alignment horizontal="right"/>
    </xf>
    <xf numFmtId="0" fontId="4" fillId="10" borderId="12" xfId="0" applyFont="1" applyFill="1" applyBorder="1"/>
    <xf numFmtId="0" fontId="4" fillId="10" borderId="14" xfId="0" applyFont="1" applyFill="1" applyBorder="1"/>
    <xf numFmtId="0" fontId="4" fillId="11" borderId="8" xfId="0" applyFont="1" applyFill="1" applyBorder="1"/>
    <xf numFmtId="0" fontId="0" fillId="3" borderId="0" xfId="0" applyFill="1"/>
    <xf numFmtId="3" fontId="0" fillId="0" borderId="3" xfId="0" applyNumberFormat="1" applyFont="1" applyBorder="1" applyAlignment="1">
      <alignment horizontal="right"/>
    </xf>
    <xf numFmtId="0" fontId="0" fillId="0" borderId="0" xfId="0" applyFont="1"/>
    <xf numFmtId="3" fontId="0" fillId="0" borderId="0" xfId="0" applyNumberFormat="1" applyFont="1" applyFill="1" applyBorder="1" applyAlignment="1">
      <alignment horizontal="center"/>
    </xf>
    <xf numFmtId="0" fontId="0" fillId="0" borderId="5" xfId="0" applyFont="1" applyFill="1" applyBorder="1"/>
    <xf numFmtId="0" fontId="0" fillId="0" borderId="5" xfId="0" applyFont="1" applyBorder="1"/>
    <xf numFmtId="0" fontId="0" fillId="0" borderId="8" xfId="0" applyFont="1" applyBorder="1"/>
    <xf numFmtId="3" fontId="0" fillId="0" borderId="9" xfId="0" applyNumberFormat="1" applyFont="1" applyBorder="1" applyAlignment="1">
      <alignment horizontal="right"/>
    </xf>
    <xf numFmtId="0" fontId="0" fillId="0" borderId="5" xfId="0" applyBorder="1"/>
    <xf numFmtId="0" fontId="0" fillId="0" borderId="2" xfId="0" applyBorder="1"/>
    <xf numFmtId="0" fontId="0" fillId="0" borderId="0" xfId="0" applyBorder="1"/>
    <xf numFmtId="3" fontId="0" fillId="0" borderId="0" xfId="0" applyNumberFormat="1" applyFont="1" applyFill="1" applyBorder="1" applyAlignment="1">
      <alignment horizontal="right"/>
    </xf>
    <xf numFmtId="3" fontId="0" fillId="0" borderId="2" xfId="0" applyNumberFormat="1" applyFont="1" applyFill="1" applyBorder="1" applyAlignment="1">
      <alignment horizontal="center"/>
    </xf>
    <xf numFmtId="0" fontId="0" fillId="0" borderId="0" xfId="0" applyAlignment="1">
      <alignment horizontal="center"/>
    </xf>
    <xf numFmtId="3" fontId="0" fillId="0" borderId="0" xfId="0" applyNumberFormat="1" applyAlignment="1">
      <alignment horizontal="center"/>
    </xf>
    <xf numFmtId="3" fontId="0" fillId="0" borderId="0" xfId="0" applyNumberFormat="1"/>
    <xf numFmtId="2" fontId="0" fillId="0" borderId="0" xfId="0" applyNumberFormat="1" applyFill="1"/>
    <xf numFmtId="9" fontId="0" fillId="0" borderId="0" xfId="1" applyFont="1"/>
    <xf numFmtId="0" fontId="27" fillId="0" borderId="47" xfId="0" applyFont="1" applyBorder="1" applyAlignment="1">
      <alignment horizontal="center" vertical="center" wrapText="1"/>
    </xf>
    <xf numFmtId="0" fontId="27" fillId="0" borderId="0" xfId="0" applyFont="1" applyAlignment="1">
      <alignment horizontal="center" vertical="center" wrapText="1"/>
    </xf>
    <xf numFmtId="3" fontId="27" fillId="0" borderId="0" xfId="0" applyNumberFormat="1" applyFont="1" applyAlignment="1">
      <alignment horizontal="right" vertical="center" wrapText="1"/>
    </xf>
    <xf numFmtId="0" fontId="27" fillId="0" borderId="0" xfId="0" applyFont="1" applyAlignment="1">
      <alignment horizontal="right" vertical="center" wrapText="1"/>
    </xf>
    <xf numFmtId="3" fontId="27" fillId="0" borderId="47" xfId="0" applyNumberFormat="1" applyFont="1" applyBorder="1" applyAlignment="1">
      <alignment horizontal="right" vertical="center" wrapText="1"/>
    </xf>
    <xf numFmtId="0" fontId="27" fillId="0" borderId="47" xfId="0" applyFont="1" applyBorder="1" applyAlignment="1">
      <alignment horizontal="right" vertical="center" wrapText="1"/>
    </xf>
    <xf numFmtId="3" fontId="0" fillId="0" borderId="0" xfId="0" applyNumberFormat="1" applyFont="1"/>
    <xf numFmtId="0" fontId="27" fillId="0" borderId="0" xfId="0" applyFont="1" applyBorder="1" applyAlignment="1">
      <alignment horizontal="center" vertical="center" wrapText="1"/>
    </xf>
    <xf numFmtId="0" fontId="27" fillId="0" borderId="52" xfId="0" applyFont="1" applyBorder="1" applyAlignment="1">
      <alignment horizontal="center" vertical="center" wrapText="1"/>
    </xf>
    <xf numFmtId="0" fontId="34" fillId="0" borderId="53" xfId="0" applyFont="1" applyBorder="1" applyAlignment="1">
      <alignment horizontal="center" vertical="center" wrapText="1"/>
    </xf>
    <xf numFmtId="3" fontId="34" fillId="0" borderId="45" xfId="0" applyNumberFormat="1" applyFont="1" applyBorder="1" applyAlignment="1">
      <alignment horizontal="right" vertical="center" wrapText="1"/>
    </xf>
    <xf numFmtId="0" fontId="34" fillId="0" borderId="0" xfId="0" applyFont="1" applyAlignment="1">
      <alignment horizontal="right" vertical="center" wrapText="1"/>
    </xf>
    <xf numFmtId="3" fontId="34" fillId="0" borderId="0" xfId="0" applyNumberFormat="1" applyFont="1" applyAlignment="1">
      <alignment horizontal="right" vertical="center" wrapText="1"/>
    </xf>
    <xf numFmtId="9" fontId="34" fillId="0" borderId="45" xfId="0" applyNumberFormat="1" applyFont="1" applyBorder="1" applyAlignment="1">
      <alignment horizontal="center" vertical="center" wrapText="1"/>
    </xf>
    <xf numFmtId="3" fontId="27" fillId="0" borderId="45" xfId="0" applyNumberFormat="1" applyFont="1" applyBorder="1" applyAlignment="1">
      <alignment horizontal="right" vertical="center" wrapText="1"/>
    </xf>
    <xf numFmtId="0" fontId="27" fillId="0" borderId="45" xfId="0" applyFont="1" applyBorder="1" applyAlignment="1">
      <alignment horizontal="right" vertical="center" wrapText="1"/>
    </xf>
    <xf numFmtId="9" fontId="27" fillId="0" borderId="45" xfId="0" applyNumberFormat="1" applyFont="1" applyBorder="1" applyAlignment="1">
      <alignment horizontal="center" vertical="center" wrapText="1"/>
    </xf>
    <xf numFmtId="3" fontId="27" fillId="0" borderId="49" xfId="0" applyNumberFormat="1" applyFont="1" applyBorder="1" applyAlignment="1">
      <alignment horizontal="right" vertical="center" wrapText="1"/>
    </xf>
    <xf numFmtId="9" fontId="27" fillId="0" borderId="49" xfId="0" applyNumberFormat="1" applyFont="1" applyBorder="1" applyAlignment="1">
      <alignment horizontal="center" vertical="center" wrapText="1"/>
    </xf>
    <xf numFmtId="0" fontId="21" fillId="0" borderId="0" xfId="0" applyFont="1" applyAlignment="1">
      <alignment vertical="center"/>
    </xf>
    <xf numFmtId="0" fontId="27" fillId="0" borderId="0" xfId="0" applyFont="1" applyFill="1" applyBorder="1" applyAlignment="1">
      <alignment horizontal="left" vertical="center"/>
    </xf>
    <xf numFmtId="0" fontId="27" fillId="0" borderId="47" xfId="0" applyFont="1" applyBorder="1" applyAlignment="1">
      <alignment horizontal="center" vertical="center"/>
    </xf>
    <xf numFmtId="165" fontId="0" fillId="0" borderId="0" xfId="0" applyNumberFormat="1"/>
    <xf numFmtId="9" fontId="0" fillId="0" borderId="0" xfId="0" applyNumberFormat="1" applyFont="1"/>
    <xf numFmtId="0" fontId="27" fillId="0" borderId="0" xfId="0" applyFont="1" applyBorder="1" applyAlignment="1">
      <alignment horizontal="right" vertical="center" wrapText="1"/>
    </xf>
    <xf numFmtId="0" fontId="27" fillId="0" borderId="0" xfId="0" applyFont="1" applyBorder="1" applyAlignment="1">
      <alignment vertical="center" wrapText="1"/>
    </xf>
    <xf numFmtId="3" fontId="27" fillId="0" borderId="58" xfId="0" applyNumberFormat="1" applyFont="1" applyBorder="1" applyAlignment="1">
      <alignment horizontal="right" vertical="center" wrapText="1"/>
    </xf>
    <xf numFmtId="165" fontId="27" fillId="0" borderId="0" xfId="0" applyNumberFormat="1" applyFont="1" applyAlignment="1">
      <alignment vertical="center" wrapText="1"/>
    </xf>
    <xf numFmtId="1" fontId="27" fillId="0" borderId="0" xfId="0" applyNumberFormat="1" applyFont="1" applyAlignment="1">
      <alignment vertical="center" wrapText="1"/>
    </xf>
    <xf numFmtId="0" fontId="27" fillId="0" borderId="0" xfId="0" applyFont="1" applyBorder="1" applyAlignment="1">
      <alignment horizontal="left" vertical="center"/>
    </xf>
    <xf numFmtId="3" fontId="27" fillId="0" borderId="0" xfId="0" applyNumberFormat="1" applyFont="1" applyAlignment="1">
      <alignment vertical="center" wrapText="1"/>
    </xf>
    <xf numFmtId="165" fontId="0" fillId="0" borderId="0" xfId="0" applyNumberFormat="1" applyFont="1"/>
    <xf numFmtId="9" fontId="27" fillId="0" borderId="0" xfId="1" applyFont="1" applyAlignment="1">
      <alignment vertical="center" wrapText="1"/>
    </xf>
    <xf numFmtId="164" fontId="27" fillId="0" borderId="0" xfId="1" applyNumberFormat="1" applyFont="1" applyAlignment="1">
      <alignment vertical="center" wrapText="1"/>
    </xf>
    <xf numFmtId="164" fontId="0" fillId="0" borderId="0" xfId="1" applyNumberFormat="1" applyFont="1"/>
    <xf numFmtId="9" fontId="27" fillId="0" borderId="0" xfId="1" applyFont="1" applyBorder="1" applyAlignment="1">
      <alignment vertical="center" wrapText="1"/>
    </xf>
    <xf numFmtId="0" fontId="4" fillId="3" borderId="1" xfId="0" applyFont="1" applyFill="1" applyBorder="1"/>
    <xf numFmtId="0" fontId="0" fillId="3" borderId="2" xfId="0" applyFont="1" applyFill="1" applyBorder="1"/>
    <xf numFmtId="0" fontId="0" fillId="3" borderId="4" xfId="0" applyFont="1" applyFill="1" applyBorder="1"/>
    <xf numFmtId="3" fontId="4" fillId="0" borderId="2" xfId="0" applyNumberFormat="1" applyFont="1" applyFill="1" applyBorder="1" applyAlignment="1">
      <alignment horizontal="center"/>
    </xf>
    <xf numFmtId="9" fontId="4" fillId="0" borderId="3" xfId="1" applyFont="1" applyFill="1" applyBorder="1" applyAlignment="1">
      <alignment horizontal="center"/>
    </xf>
    <xf numFmtId="0" fontId="4" fillId="3" borderId="5" xfId="0" applyFont="1" applyFill="1" applyBorder="1"/>
    <xf numFmtId="0" fontId="0" fillId="3" borderId="0" xfId="0" applyFont="1" applyFill="1" applyBorder="1"/>
    <xf numFmtId="0" fontId="0" fillId="3" borderId="6" xfId="0" applyFont="1" applyFill="1" applyBorder="1"/>
    <xf numFmtId="3" fontId="4" fillId="0" borderId="0" xfId="0" applyNumberFormat="1" applyFont="1" applyFill="1" applyBorder="1" applyAlignment="1">
      <alignment horizontal="center"/>
    </xf>
    <xf numFmtId="9" fontId="4" fillId="0" borderId="7" xfId="1" applyFont="1" applyFill="1" applyBorder="1" applyAlignment="1">
      <alignment horizontal="center"/>
    </xf>
    <xf numFmtId="3" fontId="9" fillId="0" borderId="0" xfId="0" applyNumberFormat="1" applyFont="1" applyFill="1" applyBorder="1" applyAlignment="1">
      <alignment horizontal="center"/>
    </xf>
    <xf numFmtId="9" fontId="9" fillId="0" borderId="7" xfId="1" applyFont="1" applyFill="1" applyBorder="1" applyAlignment="1">
      <alignment horizontal="center"/>
    </xf>
    <xf numFmtId="0" fontId="4" fillId="3" borderId="8" xfId="0" applyFont="1" applyFill="1" applyBorder="1"/>
    <xf numFmtId="0" fontId="0" fillId="3" borderId="9" xfId="0" applyFont="1" applyFill="1" applyBorder="1"/>
    <xf numFmtId="0" fontId="0" fillId="3" borderId="10" xfId="0" applyFont="1" applyFill="1" applyBorder="1"/>
    <xf numFmtId="3" fontId="4" fillId="0" borderId="9" xfId="0" applyNumberFormat="1" applyFont="1" applyFill="1" applyBorder="1" applyAlignment="1">
      <alignment horizontal="center"/>
    </xf>
    <xf numFmtId="9" fontId="4" fillId="0" borderId="11" xfId="1" applyFont="1" applyFill="1" applyBorder="1" applyAlignment="1">
      <alignment horizontal="center"/>
    </xf>
    <xf numFmtId="3" fontId="0" fillId="0" borderId="0" xfId="0" applyNumberFormat="1" applyFont="1" applyBorder="1" applyAlignment="1">
      <alignment horizontal="center"/>
    </xf>
    <xf numFmtId="3" fontId="0" fillId="0" borderId="7" xfId="0" applyNumberFormat="1" applyFont="1" applyBorder="1" applyAlignment="1">
      <alignment horizontal="center"/>
    </xf>
    <xf numFmtId="0" fontId="0" fillId="0" borderId="2" xfId="0" applyFont="1" applyBorder="1"/>
    <xf numFmtId="0" fontId="4" fillId="13" borderId="9" xfId="0" applyFont="1" applyFill="1" applyBorder="1" applyAlignment="1">
      <alignment horizontal="center"/>
    </xf>
    <xf numFmtId="0" fontId="4" fillId="13" borderId="9" xfId="0" applyFont="1" applyFill="1" applyBorder="1" applyAlignment="1">
      <alignment horizontal="center" vertical="center"/>
    </xf>
    <xf numFmtId="0" fontId="4" fillId="13" borderId="11" xfId="0" applyFont="1" applyFill="1" applyBorder="1" applyAlignment="1">
      <alignment horizontal="center" vertical="center"/>
    </xf>
    <xf numFmtId="0" fontId="4" fillId="11" borderId="9" xfId="0" applyFont="1" applyFill="1" applyBorder="1" applyAlignment="1">
      <alignment horizontal="center"/>
    </xf>
    <xf numFmtId="3" fontId="0" fillId="0" borderId="7" xfId="0" applyNumberFormat="1" applyFont="1" applyFill="1" applyBorder="1" applyAlignment="1">
      <alignment horizontal="center"/>
    </xf>
    <xf numFmtId="0" fontId="0" fillId="0" borderId="0" xfId="0" quotePrefix="1" applyFont="1" applyFill="1" applyBorder="1" applyAlignment="1">
      <alignment horizontal="center"/>
    </xf>
    <xf numFmtId="9" fontId="0" fillId="0" borderId="9" xfId="1" applyFont="1" applyFill="1" applyBorder="1" applyAlignment="1">
      <alignment horizontal="center"/>
    </xf>
    <xf numFmtId="9" fontId="0" fillId="0" borderId="11" xfId="1" applyFont="1" applyFill="1" applyBorder="1" applyAlignment="1">
      <alignment horizontal="center"/>
    </xf>
    <xf numFmtId="0" fontId="4" fillId="0" borderId="1" xfId="0" quotePrefix="1" applyFont="1" applyFill="1" applyBorder="1" applyAlignment="1">
      <alignment horizontal="left"/>
    </xf>
    <xf numFmtId="0" fontId="0" fillId="0" borderId="2" xfId="0" applyFont="1" applyFill="1" applyBorder="1"/>
    <xf numFmtId="3" fontId="0" fillId="0" borderId="3" xfId="0" applyNumberFormat="1" applyFont="1" applyFill="1" applyBorder="1" applyAlignment="1">
      <alignment horizontal="center"/>
    </xf>
    <xf numFmtId="0" fontId="0" fillId="0" borderId="5" xfId="0" applyFill="1" applyBorder="1"/>
    <xf numFmtId="0" fontId="0" fillId="0" borderId="0" xfId="0" applyFill="1" applyBorder="1"/>
    <xf numFmtId="0" fontId="4" fillId="6" borderId="12" xfId="0" applyFont="1" applyFill="1" applyBorder="1" applyAlignment="1">
      <alignment horizontal="centerContinuous"/>
    </xf>
    <xf numFmtId="0" fontId="0" fillId="6" borderId="13" xfId="0" applyFont="1" applyFill="1" applyBorder="1" applyAlignment="1">
      <alignment horizontal="centerContinuous"/>
    </xf>
    <xf numFmtId="0" fontId="4" fillId="8" borderId="12" xfId="0" applyFont="1" applyFill="1" applyBorder="1"/>
    <xf numFmtId="0" fontId="4" fillId="9" borderId="0" xfId="0" applyFont="1" applyFill="1" applyBorder="1" applyAlignment="1">
      <alignment horizontal="center"/>
    </xf>
    <xf numFmtId="0" fontId="4" fillId="9" borderId="3" xfId="0" applyFont="1" applyFill="1" applyBorder="1" applyAlignment="1">
      <alignment horizontal="center"/>
    </xf>
    <xf numFmtId="0" fontId="0" fillId="0" borderId="7" xfId="0" applyFont="1" applyBorder="1"/>
    <xf numFmtId="0" fontId="10" fillId="9" borderId="2" xfId="0" applyFont="1" applyFill="1" applyBorder="1" applyAlignment="1">
      <alignment horizontal="centerContinuous"/>
    </xf>
    <xf numFmtId="0" fontId="10" fillId="11" borderId="3" xfId="0" applyFont="1" applyFill="1" applyBorder="1" applyAlignment="1">
      <alignment horizontal="centerContinuous"/>
    </xf>
    <xf numFmtId="0" fontId="4" fillId="11" borderId="9" xfId="0" applyFont="1" applyFill="1" applyBorder="1"/>
    <xf numFmtId="0" fontId="4" fillId="11" borderId="11" xfId="0" applyFont="1" applyFill="1" applyBorder="1" applyAlignment="1">
      <alignment horizontal="center"/>
    </xf>
    <xf numFmtId="0" fontId="0" fillId="0" borderId="0" xfId="0" applyFill="1" applyBorder="1" applyAlignment="1">
      <alignment horizontal="center"/>
    </xf>
    <xf numFmtId="0" fontId="0" fillId="0" borderId="7" xfId="0" quotePrefix="1" applyFill="1" applyBorder="1" applyAlignment="1">
      <alignment horizontal="center"/>
    </xf>
    <xf numFmtId="0" fontId="3" fillId="0" borderId="7" xfId="0" quotePrefix="1" applyFont="1" applyFill="1" applyBorder="1" applyAlignment="1">
      <alignment horizontal="center"/>
    </xf>
    <xf numFmtId="0" fontId="0" fillId="0" borderId="0" xfId="0" quotePrefix="1" applyFill="1" applyBorder="1" applyAlignment="1">
      <alignment horizontal="center"/>
    </xf>
    <xf numFmtId="0" fontId="15" fillId="11" borderId="12" xfId="0" applyFont="1" applyFill="1" applyBorder="1" applyAlignment="1">
      <alignment vertical="center"/>
    </xf>
    <xf numFmtId="164" fontId="15" fillId="11" borderId="14" xfId="0" applyNumberFormat="1" applyFont="1" applyFill="1" applyBorder="1" applyAlignment="1">
      <alignment horizontal="right"/>
    </xf>
    <xf numFmtId="164" fontId="15" fillId="11" borderId="13" xfId="0" applyNumberFormat="1" applyFont="1" applyFill="1" applyBorder="1" applyAlignment="1">
      <alignment horizontal="center"/>
    </xf>
    <xf numFmtId="0" fontId="4" fillId="9" borderId="5" xfId="0" applyFont="1" applyFill="1" applyBorder="1"/>
    <xf numFmtId="0" fontId="4" fillId="9" borderId="0" xfId="0" applyFont="1" applyFill="1" applyBorder="1"/>
    <xf numFmtId="0" fontId="27" fillId="0" borderId="41" xfId="0" applyFont="1" applyBorder="1" applyAlignment="1">
      <alignment horizontal="center" vertical="center" wrapText="1"/>
    </xf>
    <xf numFmtId="0" fontId="27" fillId="0" borderId="54" xfId="0" applyFont="1" applyBorder="1" applyAlignment="1">
      <alignment horizontal="center" vertical="center" wrapText="1"/>
    </xf>
    <xf numFmtId="0" fontId="27" fillId="0" borderId="53" xfId="0" applyFont="1" applyBorder="1" applyAlignment="1">
      <alignment horizontal="center" vertical="center" wrapText="1"/>
    </xf>
    <xf numFmtId="0" fontId="27" fillId="0" borderId="45" xfId="0" applyFont="1" applyBorder="1" applyAlignment="1">
      <alignment horizontal="center" vertical="center" wrapText="1"/>
    </xf>
    <xf numFmtId="0" fontId="27" fillId="0" borderId="0" xfId="0" applyFont="1" applyAlignment="1">
      <alignment vertical="center" wrapText="1"/>
    </xf>
    <xf numFmtId="0" fontId="27" fillId="0" borderId="47" xfId="0" applyFont="1" applyBorder="1" applyAlignment="1">
      <alignment vertical="center" wrapText="1"/>
    </xf>
    <xf numFmtId="0" fontId="0" fillId="0" borderId="53" xfId="0" applyFont="1" applyBorder="1" applyAlignment="1">
      <alignment wrapText="1"/>
    </xf>
    <xf numFmtId="0" fontId="0" fillId="0" borderId="45" xfId="0" applyFont="1" applyBorder="1" applyAlignment="1">
      <alignment wrapText="1"/>
    </xf>
    <xf numFmtId="0" fontId="0" fillId="0" borderId="54" xfId="0" applyFont="1" applyBorder="1" applyAlignment="1">
      <alignment wrapText="1"/>
    </xf>
    <xf numFmtId="0" fontId="0" fillId="0" borderId="49" xfId="0" applyFont="1" applyBorder="1" applyAlignment="1">
      <alignment wrapText="1"/>
    </xf>
    <xf numFmtId="0" fontId="36" fillId="17" borderId="0" xfId="0" applyFont="1" applyFill="1" applyAlignment="1">
      <alignment vertical="center"/>
    </xf>
    <xf numFmtId="0" fontId="37" fillId="17" borderId="0" xfId="0" applyFont="1" applyFill="1" applyAlignment="1">
      <alignment vertical="center"/>
    </xf>
    <xf numFmtId="0" fontId="36" fillId="17" borderId="0" xfId="0" applyFont="1" applyFill="1" applyAlignment="1">
      <alignment horizontal="right" vertical="center"/>
    </xf>
    <xf numFmtId="0" fontId="38" fillId="17" borderId="0" xfId="0" applyFont="1" applyFill="1" applyAlignment="1">
      <alignment vertical="center"/>
    </xf>
    <xf numFmtId="0" fontId="36" fillId="17" borderId="0" xfId="0" applyFont="1" applyFill="1" applyAlignment="1">
      <alignment horizontal="left" vertical="center"/>
    </xf>
    <xf numFmtId="0" fontId="37" fillId="17" borderId="0" xfId="0" applyFont="1" applyFill="1"/>
    <xf numFmtId="0" fontId="38" fillId="3" borderId="0" xfId="0" applyFont="1" applyFill="1" applyAlignment="1">
      <alignment vertical="center"/>
    </xf>
    <xf numFmtId="0" fontId="3" fillId="3" borderId="0" xfId="0" applyFont="1" applyFill="1" applyAlignment="1">
      <alignment vertical="center"/>
    </xf>
    <xf numFmtId="0" fontId="9" fillId="3" borderId="0" xfId="0" applyFont="1" applyFill="1" applyAlignment="1">
      <alignment vertical="center"/>
    </xf>
    <xf numFmtId="0" fontId="3" fillId="3" borderId="0" xfId="0" applyFont="1" applyFill="1"/>
    <xf numFmtId="0" fontId="3" fillId="0" borderId="0" xfId="0" applyFont="1"/>
    <xf numFmtId="0" fontId="0" fillId="0" borderId="0" xfId="0" applyFill="1"/>
    <xf numFmtId="0" fontId="13" fillId="3" borderId="0" xfId="0" applyFont="1" applyFill="1" applyBorder="1"/>
    <xf numFmtId="0" fontId="3" fillId="3" borderId="0" xfId="0" applyFont="1" applyFill="1" applyBorder="1"/>
    <xf numFmtId="9" fontId="4" fillId="3" borderId="14" xfId="0" applyNumberFormat="1" applyFont="1" applyFill="1" applyBorder="1" applyAlignment="1">
      <alignment horizontal="center"/>
    </xf>
    <xf numFmtId="3" fontId="4" fillId="3" borderId="14" xfId="0" applyNumberFormat="1" applyFont="1" applyFill="1" applyBorder="1" applyAlignment="1">
      <alignment horizontal="center"/>
    </xf>
    <xf numFmtId="0" fontId="4" fillId="13" borderId="2" xfId="0" quotePrefix="1" applyFont="1" applyFill="1" applyBorder="1" applyAlignment="1">
      <alignment horizontal="centerContinuous"/>
    </xf>
    <xf numFmtId="0" fontId="4" fillId="13" borderId="2" xfId="0" applyFont="1" applyFill="1" applyBorder="1" applyAlignment="1">
      <alignment horizontal="centerContinuous"/>
    </xf>
    <xf numFmtId="0" fontId="4" fillId="13" borderId="3" xfId="0" applyFont="1" applyFill="1" applyBorder="1" applyAlignment="1">
      <alignment horizontal="centerContinuous"/>
    </xf>
    <xf numFmtId="0" fontId="4" fillId="7" borderId="3" xfId="0" applyFont="1" applyFill="1" applyBorder="1" applyAlignment="1">
      <alignment horizontal="center" vertical="center"/>
    </xf>
    <xf numFmtId="0" fontId="4" fillId="7" borderId="5" xfId="0" applyFont="1" applyFill="1" applyBorder="1" applyAlignment="1">
      <alignment horizontal="center" vertical="center"/>
    </xf>
    <xf numFmtId="0" fontId="4" fillId="7" borderId="7" xfId="0" applyFont="1" applyFill="1" applyBorder="1" applyAlignment="1">
      <alignment horizontal="center" vertical="center"/>
    </xf>
    <xf numFmtId="0" fontId="4" fillId="13" borderId="8" xfId="0" applyFont="1" applyFill="1" applyBorder="1" applyAlignment="1">
      <alignment horizontal="center"/>
    </xf>
    <xf numFmtId="0" fontId="13" fillId="0" borderId="2" xfId="0" applyFont="1" applyBorder="1"/>
    <xf numFmtId="3" fontId="3" fillId="0" borderId="3" xfId="0" applyNumberFormat="1" applyFont="1" applyBorder="1" applyAlignment="1">
      <alignment horizontal="right"/>
    </xf>
    <xf numFmtId="0" fontId="3" fillId="0" borderId="2" xfId="0" applyFont="1" applyBorder="1" applyAlignment="1">
      <alignment horizontal="center"/>
    </xf>
    <xf numFmtId="3" fontId="3" fillId="0" borderId="7" xfId="0" applyNumberFormat="1" applyFont="1" applyBorder="1" applyAlignment="1">
      <alignment horizontal="right"/>
    </xf>
    <xf numFmtId="3" fontId="3" fillId="0" borderId="5" xfId="0" quotePrefix="1" applyNumberFormat="1" applyFont="1" applyBorder="1" applyAlignment="1">
      <alignment horizontal="right"/>
    </xf>
    <xf numFmtId="3" fontId="0" fillId="0" borderId="0" xfId="0" applyNumberFormat="1" applyFont="1" applyFill="1" applyBorder="1" applyAlignment="1">
      <alignment horizontal="center"/>
    </xf>
    <xf numFmtId="0" fontId="0" fillId="0" borderId="0" xfId="0" applyFont="1" applyBorder="1" applyAlignment="1">
      <alignment horizontal="center"/>
    </xf>
    <xf numFmtId="3" fontId="3" fillId="0" borderId="8" xfId="0" quotePrefix="1" applyNumberFormat="1" applyFont="1" applyBorder="1" applyAlignment="1">
      <alignment horizontal="right"/>
    </xf>
    <xf numFmtId="3" fontId="3" fillId="0" borderId="9" xfId="0" quotePrefix="1" applyNumberFormat="1" applyFont="1" applyBorder="1" applyAlignment="1">
      <alignment horizontal="right"/>
    </xf>
    <xf numFmtId="3" fontId="3" fillId="0" borderId="11" xfId="0" quotePrefix="1" applyNumberFormat="1" applyFont="1" applyBorder="1" applyAlignment="1">
      <alignment horizontal="right"/>
    </xf>
    <xf numFmtId="0" fontId="0" fillId="0" borderId="0" xfId="0" quotePrefix="1" applyFont="1" applyFill="1" applyBorder="1" applyAlignment="1">
      <alignment horizontal="right"/>
    </xf>
    <xf numFmtId="3" fontId="13" fillId="0" borderId="0" xfId="0" quotePrefix="1" applyNumberFormat="1" applyFont="1" applyFill="1" applyBorder="1" applyAlignment="1">
      <alignment horizontal="right"/>
    </xf>
    <xf numFmtId="3" fontId="13" fillId="0" borderId="0" xfId="0" applyNumberFormat="1" applyFont="1" applyFill="1" applyBorder="1" applyAlignment="1">
      <alignment horizontal="right"/>
    </xf>
    <xf numFmtId="3" fontId="13" fillId="0" borderId="7" xfId="0" applyNumberFormat="1" applyFont="1" applyFill="1" applyBorder="1" applyAlignment="1">
      <alignment horizontal="right"/>
    </xf>
    <xf numFmtId="3" fontId="4" fillId="6" borderId="12" xfId="0" applyNumberFormat="1" applyFont="1" applyFill="1" applyBorder="1" applyAlignment="1">
      <alignment horizontal="right"/>
    </xf>
    <xf numFmtId="3" fontId="9" fillId="6" borderId="14" xfId="0" applyNumberFormat="1" applyFont="1" applyFill="1" applyBorder="1" applyAlignment="1">
      <alignment horizontal="right"/>
    </xf>
    <xf numFmtId="3" fontId="4" fillId="6" borderId="13" xfId="0" applyNumberFormat="1" applyFont="1" applyFill="1" applyBorder="1" applyAlignment="1">
      <alignment horizontal="right"/>
    </xf>
    <xf numFmtId="3" fontId="4" fillId="6" borderId="14" xfId="0" applyNumberFormat="1" applyFont="1" applyFill="1" applyBorder="1" applyAlignment="1">
      <alignment horizontal="right"/>
    </xf>
    <xf numFmtId="0" fontId="0" fillId="0" borderId="0" xfId="0" quotePrefix="1" applyFont="1" applyBorder="1" applyAlignment="1">
      <alignment horizontal="center"/>
    </xf>
    <xf numFmtId="9" fontId="0" fillId="0" borderId="0" xfId="1" applyFont="1" applyBorder="1" applyAlignment="1">
      <alignment horizontal="center"/>
    </xf>
    <xf numFmtId="9" fontId="0" fillId="0" borderId="7" xfId="1" applyFont="1" applyBorder="1" applyAlignment="1">
      <alignment horizontal="center"/>
    </xf>
    <xf numFmtId="0" fontId="4" fillId="0" borderId="1" xfId="0" applyFont="1" applyBorder="1"/>
    <xf numFmtId="0" fontId="0" fillId="0" borderId="2" xfId="0" quotePrefix="1" applyFont="1" applyBorder="1" applyAlignment="1">
      <alignment horizontal="center"/>
    </xf>
    <xf numFmtId="0" fontId="4" fillId="9" borderId="8" xfId="0" applyFont="1" applyFill="1" applyBorder="1"/>
    <xf numFmtId="0" fontId="4" fillId="9" borderId="9" xfId="0" applyFont="1" applyFill="1" applyBorder="1"/>
    <xf numFmtId="0" fontId="4" fillId="9" borderId="9" xfId="0" applyFont="1" applyFill="1" applyBorder="1" applyAlignment="1">
      <alignment horizontal="center"/>
    </xf>
    <xf numFmtId="0" fontId="4" fillId="9" borderId="11" xfId="0" applyFont="1" applyFill="1" applyBorder="1"/>
    <xf numFmtId="0" fontId="3" fillId="0" borderId="1" xfId="0" applyFont="1" applyFill="1" applyBorder="1"/>
    <xf numFmtId="0" fontId="3" fillId="0" borderId="2" xfId="0" applyFont="1" applyFill="1" applyBorder="1"/>
    <xf numFmtId="3" fontId="3" fillId="0" borderId="2" xfId="0" applyNumberFormat="1" applyFont="1" applyFill="1" applyBorder="1" applyAlignment="1">
      <alignment horizontal="center"/>
    </xf>
    <xf numFmtId="3" fontId="3" fillId="0" borderId="2" xfId="0" quotePrefix="1" applyNumberFormat="1" applyFont="1" applyFill="1" applyBorder="1" applyAlignment="1">
      <alignment horizontal="right"/>
    </xf>
    <xf numFmtId="0" fontId="3" fillId="0" borderId="2" xfId="0" applyFont="1" applyBorder="1"/>
    <xf numFmtId="0" fontId="3" fillId="0" borderId="3" xfId="0" applyFont="1" applyBorder="1" applyAlignment="1">
      <alignment horizontal="center"/>
    </xf>
    <xf numFmtId="0" fontId="0" fillId="0" borderId="9" xfId="0" quotePrefix="1" applyFont="1" applyBorder="1" applyAlignment="1">
      <alignment horizontal="center"/>
    </xf>
    <xf numFmtId="0" fontId="3" fillId="0" borderId="5" xfId="0" applyFont="1" applyFill="1" applyBorder="1"/>
    <xf numFmtId="0" fontId="3" fillId="0" borderId="0" xfId="0" applyFont="1" applyFill="1" applyBorder="1"/>
    <xf numFmtId="3" fontId="3" fillId="0" borderId="0" xfId="0" applyNumberFormat="1" applyFont="1" applyFill="1" applyBorder="1" applyAlignment="1">
      <alignment horizontal="center"/>
    </xf>
    <xf numFmtId="3" fontId="3" fillId="0" borderId="0" xfId="0" quotePrefix="1" applyNumberFormat="1" applyFont="1" applyFill="1" applyBorder="1" applyAlignment="1">
      <alignment horizontal="right"/>
    </xf>
    <xf numFmtId="0" fontId="3" fillId="0" borderId="0" xfId="0" applyFont="1" applyBorder="1"/>
    <xf numFmtId="0" fontId="3" fillId="0" borderId="0" xfId="0" applyFont="1" applyBorder="1" applyAlignment="1">
      <alignment horizontal="center"/>
    </xf>
    <xf numFmtId="0" fontId="3" fillId="0" borderId="7" xfId="0" applyFont="1" applyBorder="1" applyAlignment="1">
      <alignment horizontal="center"/>
    </xf>
    <xf numFmtId="0" fontId="3" fillId="0" borderId="8" xfId="0" applyFont="1" applyFill="1" applyBorder="1"/>
    <xf numFmtId="0" fontId="3" fillId="0" borderId="9" xfId="0" applyFont="1" applyFill="1" applyBorder="1"/>
    <xf numFmtId="3" fontId="3" fillId="0" borderId="9" xfId="0" applyNumberFormat="1" applyFont="1" applyFill="1" applyBorder="1" applyAlignment="1">
      <alignment horizontal="center"/>
    </xf>
    <xf numFmtId="3" fontId="3" fillId="0" borderId="9" xfId="0" quotePrefix="1" applyNumberFormat="1" applyFont="1" applyFill="1" applyBorder="1" applyAlignment="1">
      <alignment horizontal="right"/>
    </xf>
    <xf numFmtId="0" fontId="3" fillId="0" borderId="9" xfId="0" applyFont="1" applyBorder="1"/>
    <xf numFmtId="0" fontId="3" fillId="0" borderId="9" xfId="0" applyFont="1" applyBorder="1" applyAlignment="1">
      <alignment horizontal="center"/>
    </xf>
    <xf numFmtId="0" fontId="3" fillId="0" borderId="11" xfId="0" applyFont="1" applyBorder="1" applyAlignment="1">
      <alignment horizontal="center"/>
    </xf>
    <xf numFmtId="0" fontId="15" fillId="18" borderId="12" xfId="0" applyFont="1" applyFill="1" applyBorder="1"/>
    <xf numFmtId="0" fontId="3" fillId="9" borderId="13" xfId="0" applyFont="1" applyFill="1" applyBorder="1"/>
    <xf numFmtId="3" fontId="3" fillId="9" borderId="13" xfId="0" applyNumberFormat="1" applyFont="1" applyFill="1" applyBorder="1"/>
    <xf numFmtId="0" fontId="3" fillId="9" borderId="14" xfId="0" applyFont="1" applyFill="1" applyBorder="1"/>
    <xf numFmtId="0" fontId="3" fillId="0" borderId="0" xfId="0" applyFont="1" applyFill="1"/>
    <xf numFmtId="0" fontId="0" fillId="11" borderId="2" xfId="0" applyFont="1" applyFill="1" applyBorder="1" applyAlignment="1">
      <alignment horizontal="centerContinuous"/>
    </xf>
    <xf numFmtId="0" fontId="0" fillId="11" borderId="9" xfId="0" applyFill="1" applyBorder="1"/>
    <xf numFmtId="0" fontId="13" fillId="0" borderId="1" xfId="0" applyFont="1" applyFill="1" applyBorder="1"/>
    <xf numFmtId="0" fontId="0" fillId="0" borderId="2" xfId="0" applyBorder="1" applyAlignment="1">
      <alignment horizontal="center"/>
    </xf>
    <xf numFmtId="9" fontId="0" fillId="0" borderId="2" xfId="1" applyNumberFormat="1" applyFont="1" applyFill="1" applyBorder="1" applyAlignment="1">
      <alignment horizontal="center"/>
    </xf>
    <xf numFmtId="0" fontId="0" fillId="0" borderId="3" xfId="0" quotePrefix="1" applyFont="1" applyBorder="1" applyAlignment="1">
      <alignment horizontal="center"/>
    </xf>
    <xf numFmtId="0" fontId="13" fillId="0" borderId="5" xfId="0" applyFont="1" applyBorder="1"/>
    <xf numFmtId="0" fontId="0" fillId="0" borderId="0" xfId="0" applyBorder="1" applyAlignment="1">
      <alignment horizontal="center"/>
    </xf>
    <xf numFmtId="9" fontId="0" fillId="0" borderId="0" xfId="1" applyNumberFormat="1" applyFont="1" applyFill="1" applyBorder="1" applyAlignment="1">
      <alignment horizontal="center"/>
    </xf>
    <xf numFmtId="0" fontId="0" fillId="0" borderId="7" xfId="0" applyFont="1" applyBorder="1" applyAlignment="1">
      <alignment horizontal="center"/>
    </xf>
    <xf numFmtId="0" fontId="13" fillId="0" borderId="5" xfId="0" applyFont="1" applyFill="1" applyBorder="1"/>
    <xf numFmtId="9" fontId="0" fillId="0" borderId="0" xfId="0" applyNumberFormat="1" applyFont="1" applyFill="1" applyBorder="1" applyAlignment="1">
      <alignment horizontal="center"/>
    </xf>
    <xf numFmtId="0" fontId="0" fillId="0" borderId="0" xfId="0" quotePrefix="1" applyBorder="1" applyAlignment="1">
      <alignment horizontal="center"/>
    </xf>
    <xf numFmtId="0" fontId="0" fillId="0" borderId="8" xfId="0" applyFill="1" applyBorder="1"/>
    <xf numFmtId="0" fontId="0" fillId="0" borderId="9" xfId="0" applyFill="1" applyBorder="1" applyAlignment="1">
      <alignment horizontal="center"/>
    </xf>
    <xf numFmtId="9" fontId="0" fillId="0" borderId="9" xfId="0" quotePrefix="1" applyNumberFormat="1" applyFont="1" applyFill="1" applyBorder="1" applyAlignment="1">
      <alignment horizontal="center"/>
    </xf>
    <xf numFmtId="0" fontId="0" fillId="0" borderId="11" xfId="0" applyFont="1" applyBorder="1" applyAlignment="1">
      <alignment horizontal="center"/>
    </xf>
    <xf numFmtId="0" fontId="15" fillId="0" borderId="8" xfId="0" applyFont="1" applyFill="1" applyBorder="1"/>
    <xf numFmtId="0" fontId="0" fillId="0" borderId="9" xfId="0" applyBorder="1" applyAlignment="1">
      <alignment horizontal="center"/>
    </xf>
    <xf numFmtId="9" fontId="15" fillId="0" borderId="9" xfId="0" applyNumberFormat="1" applyFont="1" applyFill="1" applyBorder="1" applyAlignment="1">
      <alignment horizontal="center"/>
    </xf>
    <xf numFmtId="0" fontId="15" fillId="0" borderId="9" xfId="0" applyFont="1" applyBorder="1" applyAlignment="1">
      <alignment horizontal="center"/>
    </xf>
    <xf numFmtId="164" fontId="15" fillId="0" borderId="9" xfId="0" applyNumberFormat="1" applyFont="1" applyBorder="1" applyAlignment="1">
      <alignment horizontal="center"/>
    </xf>
    <xf numFmtId="3" fontId="18" fillId="0" borderId="9" xfId="0" applyNumberFormat="1" applyFont="1" applyBorder="1" applyAlignment="1">
      <alignment horizontal="center"/>
    </xf>
    <xf numFmtId="0" fontId="15" fillId="0" borderId="11" xfId="0" applyFont="1" applyBorder="1" applyAlignment="1">
      <alignment horizontal="center"/>
    </xf>
    <xf numFmtId="0" fontId="39" fillId="0" borderId="0" xfId="0" applyFont="1" applyBorder="1" applyAlignment="1">
      <alignment horizontal="left" vertical="top"/>
    </xf>
    <xf numFmtId="0" fontId="40" fillId="0" borderId="0" xfId="0" applyFont="1" applyBorder="1" applyAlignment="1">
      <alignment vertical="top" wrapText="1"/>
    </xf>
    <xf numFmtId="0" fontId="41" fillId="9" borderId="0" xfId="0" applyFont="1" applyFill="1" applyBorder="1" applyAlignment="1">
      <alignment vertical="top" wrapText="1"/>
    </xf>
    <xf numFmtId="0" fontId="40" fillId="9" borderId="0" xfId="0" applyFont="1" applyFill="1" applyBorder="1" applyAlignment="1">
      <alignment vertical="top" wrapText="1"/>
    </xf>
    <xf numFmtId="0" fontId="40" fillId="7" borderId="0" xfId="0" applyFont="1" applyFill="1" applyBorder="1" applyAlignment="1">
      <alignment vertical="top" wrapText="1"/>
    </xf>
    <xf numFmtId="0" fontId="40" fillId="0" borderId="0" xfId="0" applyFont="1" applyBorder="1" applyAlignment="1">
      <alignment vertical="top"/>
    </xf>
    <xf numFmtId="3" fontId="0" fillId="0" borderId="0" xfId="0" applyNumberFormat="1" applyBorder="1"/>
    <xf numFmtId="0" fontId="40" fillId="0" borderId="0" xfId="0" applyFont="1" applyBorder="1" applyAlignment="1">
      <alignment horizontal="left" vertical="top" wrapText="1"/>
    </xf>
    <xf numFmtId="0" fontId="42" fillId="0" borderId="0" xfId="0" applyFont="1" applyBorder="1" applyAlignment="1">
      <alignment horizontal="center" vertical="center" wrapText="1"/>
    </xf>
    <xf numFmtId="0" fontId="42" fillId="0" borderId="0" xfId="0" applyFont="1" applyBorder="1" applyAlignment="1">
      <alignment horizontal="left" vertical="top" wrapText="1" indent="2"/>
    </xf>
    <xf numFmtId="0" fontId="43" fillId="9" borderId="0" xfId="0" applyFont="1" applyFill="1" applyBorder="1" applyAlignment="1">
      <alignment horizontal="center" vertical="center" wrapText="1"/>
    </xf>
    <xf numFmtId="0" fontId="42" fillId="9" borderId="0" xfId="0" applyFont="1" applyFill="1" applyBorder="1" applyAlignment="1">
      <alignment horizontal="center" vertical="center" wrapText="1"/>
    </xf>
    <xf numFmtId="3" fontId="42" fillId="7" borderId="0" xfId="0" applyNumberFormat="1" applyFont="1" applyFill="1" applyBorder="1" applyAlignment="1">
      <alignment horizontal="left" vertical="center"/>
    </xf>
    <xf numFmtId="0" fontId="42" fillId="7" borderId="0" xfId="0" applyFont="1" applyFill="1" applyBorder="1" applyAlignment="1">
      <alignment horizontal="center" vertical="center" wrapText="1"/>
    </xf>
    <xf numFmtId="0" fontId="40" fillId="19" borderId="0" xfId="0" applyFont="1" applyFill="1" applyBorder="1" applyAlignment="1">
      <alignment vertical="top" wrapText="1"/>
    </xf>
    <xf numFmtId="0" fontId="42" fillId="0" borderId="0" xfId="0" applyFont="1" applyFill="1" applyBorder="1" applyAlignment="1">
      <alignment horizontal="center" vertical="center" wrapText="1"/>
    </xf>
    <xf numFmtId="0" fontId="42" fillId="0" borderId="0" xfId="0" applyFont="1" applyBorder="1" applyAlignment="1">
      <alignment horizontal="right" vertical="center" wrapText="1" indent="2"/>
    </xf>
    <xf numFmtId="0" fontId="42" fillId="7" borderId="0" xfId="0" applyFont="1" applyFill="1" applyBorder="1" applyAlignment="1">
      <alignment horizontal="center" vertical="center"/>
    </xf>
    <xf numFmtId="0" fontId="44" fillId="0" borderId="0" xfId="0" applyFont="1" applyBorder="1" applyAlignment="1">
      <alignment horizontal="center" vertical="top" wrapText="1"/>
    </xf>
    <xf numFmtId="0" fontId="41" fillId="9" borderId="0" xfId="0" applyFont="1" applyFill="1" applyBorder="1" applyAlignment="1">
      <alignment horizontal="center" vertical="top" wrapText="1"/>
    </xf>
    <xf numFmtId="0" fontId="44" fillId="9" borderId="0" xfId="0" applyFont="1" applyFill="1" applyBorder="1" applyAlignment="1">
      <alignment horizontal="center" vertical="top" wrapText="1"/>
    </xf>
    <xf numFmtId="0" fontId="44" fillId="7" borderId="0" xfId="0" applyFont="1" applyFill="1" applyBorder="1" applyAlignment="1">
      <alignment horizontal="center" vertical="top" wrapText="1"/>
    </xf>
    <xf numFmtId="1" fontId="40" fillId="0" borderId="0" xfId="0" applyNumberFormat="1" applyFont="1" applyBorder="1" applyAlignment="1">
      <alignment horizontal="center" vertical="top" wrapText="1"/>
    </xf>
    <xf numFmtId="3" fontId="40" fillId="19" borderId="0" xfId="0" applyNumberFormat="1" applyFont="1" applyFill="1" applyBorder="1" applyAlignment="1">
      <alignment vertical="top" wrapText="1"/>
    </xf>
    <xf numFmtId="2" fontId="0" fillId="0" borderId="0" xfId="0" applyNumberFormat="1" applyBorder="1"/>
    <xf numFmtId="1" fontId="46" fillId="0" borderId="0" xfId="0" applyNumberFormat="1" applyFont="1" applyBorder="1" applyAlignment="1">
      <alignment horizontal="right" vertical="top" wrapText="1" indent="2"/>
    </xf>
    <xf numFmtId="3" fontId="46" fillId="0" borderId="0" xfId="0" applyNumberFormat="1" applyFont="1" applyBorder="1" applyAlignment="1">
      <alignment horizontal="center" vertical="top" wrapText="1"/>
    </xf>
    <xf numFmtId="1" fontId="46" fillId="0" borderId="0" xfId="0" applyNumberFormat="1" applyFont="1" applyBorder="1" applyAlignment="1">
      <alignment horizontal="center" vertical="top" wrapText="1"/>
    </xf>
    <xf numFmtId="9" fontId="47" fillId="9" borderId="0" xfId="1" applyFont="1" applyFill="1" applyBorder="1" applyAlignment="1">
      <alignment horizontal="center" vertical="top" wrapText="1"/>
    </xf>
    <xf numFmtId="9" fontId="43" fillId="9" borderId="0" xfId="0" applyNumberFormat="1" applyFont="1" applyFill="1" applyBorder="1" applyAlignment="1">
      <alignment horizontal="center" vertical="center" wrapText="1"/>
    </xf>
    <xf numFmtId="9" fontId="46" fillId="9" borderId="0" xfId="1" applyFont="1" applyFill="1" applyBorder="1" applyAlignment="1">
      <alignment horizontal="center" vertical="top" wrapText="1"/>
    </xf>
    <xf numFmtId="9" fontId="46" fillId="7" borderId="0" xfId="1" applyFont="1" applyFill="1" applyBorder="1" applyAlignment="1">
      <alignment horizontal="center" vertical="top" wrapText="1"/>
    </xf>
    <xf numFmtId="164" fontId="46" fillId="7" borderId="0" xfId="1" applyNumberFormat="1" applyFont="1" applyFill="1" applyBorder="1" applyAlignment="1">
      <alignment horizontal="center" vertical="top" wrapText="1"/>
    </xf>
    <xf numFmtId="3" fontId="3" fillId="0" borderId="0" xfId="0" applyNumberFormat="1" applyFont="1" applyFill="1" applyAlignment="1">
      <alignment horizontal="center"/>
    </xf>
    <xf numFmtId="165" fontId="0" fillId="0" borderId="0" xfId="0" applyNumberFormat="1" applyBorder="1"/>
    <xf numFmtId="0" fontId="48" fillId="0" borderId="0" xfId="0" applyFont="1" applyBorder="1" applyAlignment="1">
      <alignment vertical="top" wrapText="1"/>
    </xf>
    <xf numFmtId="3" fontId="47" fillId="9" borderId="0" xfId="0" applyNumberFormat="1" applyFont="1" applyFill="1" applyBorder="1" applyAlignment="1">
      <alignment horizontal="center" vertical="top" wrapText="1"/>
    </xf>
    <xf numFmtId="3" fontId="46" fillId="9" borderId="0" xfId="0" applyNumberFormat="1" applyFont="1" applyFill="1" applyBorder="1" applyAlignment="1">
      <alignment horizontal="center" vertical="top" wrapText="1"/>
    </xf>
    <xf numFmtId="3" fontId="46" fillId="7" borderId="0" xfId="0" applyNumberFormat="1" applyFont="1" applyFill="1" applyBorder="1" applyAlignment="1">
      <alignment horizontal="center" vertical="top" wrapText="1"/>
    </xf>
    <xf numFmtId="0" fontId="40" fillId="0" borderId="0" xfId="0" applyFont="1" applyAlignment="1">
      <alignment vertical="top" wrapText="1"/>
    </xf>
    <xf numFmtId="0" fontId="49" fillId="0" borderId="0" xfId="0" applyFont="1" applyAlignment="1">
      <alignment horizontal="left" vertical="top"/>
    </xf>
    <xf numFmtId="0" fontId="41" fillId="9" borderId="0" xfId="0" applyFont="1" applyFill="1" applyAlignment="1">
      <alignment vertical="top" wrapText="1"/>
    </xf>
    <xf numFmtId="0" fontId="40" fillId="9" borderId="0" xfId="0" applyFont="1" applyFill="1" applyAlignment="1">
      <alignment vertical="top" wrapText="1"/>
    </xf>
    <xf numFmtId="0" fontId="40" fillId="7" borderId="0" xfId="0" applyFont="1" applyFill="1" applyAlignment="1">
      <alignment vertical="top" wrapText="1"/>
    </xf>
    <xf numFmtId="0" fontId="4" fillId="0" borderId="0" xfId="0" applyFont="1" applyFill="1"/>
    <xf numFmtId="0" fontId="4" fillId="13" borderId="1" xfId="0" applyFont="1" applyFill="1" applyBorder="1"/>
    <xf numFmtId="0" fontId="0" fillId="13" borderId="2" xfId="0" applyFont="1" applyFill="1" applyBorder="1"/>
    <xf numFmtId="0" fontId="0" fillId="13" borderId="2" xfId="0" applyFill="1" applyBorder="1"/>
    <xf numFmtId="0" fontId="0" fillId="13" borderId="3" xfId="0" applyFill="1" applyBorder="1"/>
    <xf numFmtId="0" fontId="4" fillId="0" borderId="0" xfId="0" applyFont="1" applyFill="1" applyBorder="1"/>
    <xf numFmtId="3" fontId="0" fillId="0" borderId="0" xfId="0" applyNumberFormat="1" applyFill="1"/>
    <xf numFmtId="9" fontId="0" fillId="13" borderId="5" xfId="1" applyFont="1" applyFill="1" applyBorder="1" applyAlignment="1">
      <alignment horizontal="center"/>
    </xf>
    <xf numFmtId="0" fontId="0" fillId="13" borderId="0" xfId="0" applyFill="1"/>
    <xf numFmtId="9" fontId="0" fillId="13" borderId="0" xfId="1" applyFont="1" applyFill="1" applyBorder="1" applyAlignment="1">
      <alignment horizontal="center"/>
    </xf>
    <xf numFmtId="0" fontId="0" fillId="13" borderId="7" xfId="0" applyFill="1" applyBorder="1"/>
    <xf numFmtId="0" fontId="16" fillId="13" borderId="5" xfId="0" applyFont="1" applyFill="1" applyBorder="1"/>
    <xf numFmtId="0" fontId="0" fillId="13" borderId="0" xfId="0" applyFont="1" applyFill="1" applyBorder="1"/>
    <xf numFmtId="0" fontId="0" fillId="13" borderId="0" xfId="0" applyFill="1" applyBorder="1"/>
    <xf numFmtId="0" fontId="0" fillId="0" borderId="0" xfId="0" applyFill="1" applyBorder="1" applyAlignment="1"/>
    <xf numFmtId="0" fontId="0" fillId="0" borderId="0" xfId="0" applyAlignment="1">
      <alignment wrapText="1"/>
    </xf>
    <xf numFmtId="0" fontId="0" fillId="0" borderId="5" xfId="0" applyBorder="1" applyAlignment="1">
      <alignment wrapText="1"/>
    </xf>
    <xf numFmtId="0" fontId="14" fillId="0" borderId="0" xfId="0" applyFont="1" applyFill="1" applyBorder="1" applyAlignment="1">
      <alignment horizontal="center"/>
    </xf>
    <xf numFmtId="3" fontId="14" fillId="0" borderId="0" xfId="0" applyNumberFormat="1" applyFont="1" applyFill="1" applyBorder="1" applyAlignment="1">
      <alignment horizontal="center"/>
    </xf>
    <xf numFmtId="3" fontId="0" fillId="0" borderId="0" xfId="0" applyNumberFormat="1" applyBorder="1" applyAlignment="1">
      <alignment horizontal="center"/>
    </xf>
    <xf numFmtId="3" fontId="14" fillId="0" borderId="0" xfId="0" applyNumberFormat="1" applyFont="1" applyFill="1" applyBorder="1"/>
    <xf numFmtId="4" fontId="14" fillId="0" borderId="0" xfId="0" applyNumberFormat="1" applyFont="1" applyFill="1" applyBorder="1"/>
    <xf numFmtId="0" fontId="14" fillId="0" borderId="0" xfId="0" applyFont="1" applyFill="1" applyBorder="1"/>
    <xf numFmtId="1" fontId="14" fillId="0" borderId="5" xfId="0" applyNumberFormat="1" applyFont="1" applyFill="1" applyBorder="1"/>
    <xf numFmtId="1" fontId="14" fillId="0" borderId="0" xfId="0" applyNumberFormat="1" applyFont="1" applyFill="1" applyBorder="1"/>
    <xf numFmtId="0" fontId="0" fillId="13" borderId="5" xfId="0" applyFont="1" applyFill="1" applyBorder="1"/>
    <xf numFmtId="0" fontId="0" fillId="13" borderId="8" xfId="0" applyFont="1" applyFill="1" applyBorder="1"/>
    <xf numFmtId="9" fontId="4" fillId="13" borderId="9" xfId="1" applyFont="1" applyFill="1" applyBorder="1" applyAlignment="1">
      <alignment horizontal="center"/>
    </xf>
    <xf numFmtId="0" fontId="0" fillId="13" borderId="9" xfId="0" applyFont="1" applyFill="1" applyBorder="1"/>
    <xf numFmtId="0" fontId="0" fillId="13" borderId="9" xfId="0" applyFill="1" applyBorder="1"/>
    <xf numFmtId="9" fontId="0" fillId="13" borderId="9" xfId="1" applyFont="1" applyFill="1" applyBorder="1" applyAlignment="1">
      <alignment horizontal="center"/>
    </xf>
    <xf numFmtId="0" fontId="0" fillId="13" borderId="11" xfId="0" applyFill="1" applyBorder="1"/>
    <xf numFmtId="0" fontId="0" fillId="0" borderId="0" xfId="0" applyFont="1" applyFill="1"/>
    <xf numFmtId="0" fontId="14" fillId="0" borderId="0" xfId="0" applyFont="1" applyFill="1"/>
    <xf numFmtId="3" fontId="0" fillId="0" borderId="0" xfId="0" applyNumberFormat="1" applyFill="1" applyAlignment="1">
      <alignment horizontal="center"/>
    </xf>
    <xf numFmtId="3" fontId="0" fillId="0" borderId="0" xfId="0" applyNumberFormat="1" applyFill="1" applyBorder="1" applyAlignment="1">
      <alignment horizontal="center"/>
    </xf>
    <xf numFmtId="0" fontId="0" fillId="20" borderId="0" xfId="0" applyFill="1"/>
    <xf numFmtId="0" fontId="37" fillId="21" borderId="0" xfId="0" applyFont="1" applyFill="1" applyAlignment="1">
      <alignment vertical="center"/>
    </xf>
    <xf numFmtId="0" fontId="36" fillId="21" borderId="0" xfId="0" applyFont="1" applyFill="1" applyAlignment="1">
      <alignment vertical="center"/>
    </xf>
    <xf numFmtId="0" fontId="36" fillId="21" borderId="0" xfId="0" applyFont="1" applyFill="1" applyAlignment="1">
      <alignment horizontal="right" vertical="center"/>
    </xf>
    <xf numFmtId="0" fontId="38" fillId="21" borderId="0" xfId="0" applyFont="1" applyFill="1" applyAlignment="1">
      <alignment vertical="center"/>
    </xf>
    <xf numFmtId="0" fontId="36" fillId="21" borderId="0" xfId="0" applyFont="1" applyFill="1" applyAlignment="1">
      <alignment horizontal="left" vertical="center"/>
    </xf>
    <xf numFmtId="0" fontId="37" fillId="21" borderId="0" xfId="0" applyFont="1" applyFill="1"/>
    <xf numFmtId="0" fontId="8" fillId="21" borderId="0" xfId="0" applyFont="1" applyFill="1"/>
    <xf numFmtId="0" fontId="4" fillId="22" borderId="1" xfId="0" applyFont="1" applyFill="1" applyBorder="1" applyAlignment="1">
      <alignment horizontal="centerContinuous"/>
    </xf>
    <xf numFmtId="0" fontId="4" fillId="22" borderId="2" xfId="0" applyFont="1" applyFill="1" applyBorder="1" applyAlignment="1">
      <alignment horizontal="centerContinuous"/>
    </xf>
    <xf numFmtId="0" fontId="0" fillId="22" borderId="2" xfId="0" applyFont="1" applyFill="1" applyBorder="1" applyAlignment="1">
      <alignment horizontal="centerContinuous"/>
    </xf>
    <xf numFmtId="0" fontId="0" fillId="22" borderId="3" xfId="0" applyFont="1" applyFill="1" applyBorder="1" applyAlignment="1">
      <alignment horizontal="centerContinuous"/>
    </xf>
    <xf numFmtId="0" fontId="0" fillId="23" borderId="1" xfId="0" applyFill="1" applyBorder="1"/>
    <xf numFmtId="0" fontId="0" fillId="23" borderId="2" xfId="0" applyFill="1" applyBorder="1"/>
    <xf numFmtId="0" fontId="4" fillId="23" borderId="2" xfId="0" applyFont="1" applyFill="1" applyBorder="1" applyAlignment="1">
      <alignment horizontal="center"/>
    </xf>
    <xf numFmtId="0" fontId="4" fillId="23" borderId="3" xfId="0" applyFont="1" applyFill="1" applyBorder="1" applyAlignment="1">
      <alignment horizontal="center"/>
    </xf>
    <xf numFmtId="0" fontId="4" fillId="3" borderId="0" xfId="0" applyFont="1" applyFill="1"/>
    <xf numFmtId="164" fontId="4" fillId="3" borderId="14" xfId="0" applyNumberFormat="1" applyFont="1" applyFill="1" applyBorder="1" applyAlignment="1">
      <alignment horizontal="center"/>
    </xf>
    <xf numFmtId="0" fontId="4" fillId="7" borderId="8" xfId="0" applyFont="1" applyFill="1" applyBorder="1" applyAlignment="1">
      <alignment horizontal="right" vertical="center"/>
    </xf>
    <xf numFmtId="1" fontId="13" fillId="0" borderId="1" xfId="3" applyNumberFormat="1" applyFont="1" applyBorder="1"/>
    <xf numFmtId="3" fontId="0" fillId="0" borderId="1" xfId="0" applyNumberFormat="1" applyFont="1" applyBorder="1" applyAlignment="1">
      <alignment horizontal="center"/>
    </xf>
    <xf numFmtId="0" fontId="13" fillId="0" borderId="0" xfId="0" applyFont="1" applyBorder="1"/>
    <xf numFmtId="3" fontId="1" fillId="0" borderId="5" xfId="0" applyNumberFormat="1" applyFont="1" applyBorder="1" applyAlignment="1">
      <alignment horizontal="right"/>
    </xf>
    <xf numFmtId="3" fontId="0" fillId="0" borderId="5" xfId="0" applyNumberFormat="1" applyFont="1" applyBorder="1" applyAlignment="1">
      <alignment horizontal="center"/>
    </xf>
    <xf numFmtId="3" fontId="0" fillId="0" borderId="5" xfId="0" quotePrefix="1" applyNumberFormat="1" applyFont="1" applyBorder="1" applyAlignment="1">
      <alignment horizontal="center"/>
    </xf>
    <xf numFmtId="164" fontId="15" fillId="11" borderId="13" xfId="1" applyNumberFormat="1" applyFont="1" applyFill="1" applyBorder="1" applyAlignment="1">
      <alignment horizontal="center"/>
    </xf>
    <xf numFmtId="3" fontId="15" fillId="11" borderId="13" xfId="0" applyNumberFormat="1" applyFont="1" applyFill="1" applyBorder="1" applyAlignment="1">
      <alignment horizontal="center"/>
    </xf>
    <xf numFmtId="3" fontId="1" fillId="0" borderId="8" xfId="0" applyNumberFormat="1" applyFont="1" applyBorder="1" applyAlignment="1">
      <alignment horizontal="right"/>
    </xf>
    <xf numFmtId="3" fontId="0" fillId="0" borderId="8" xfId="0" quotePrefix="1" applyNumberFormat="1" applyFont="1" applyBorder="1" applyAlignment="1">
      <alignment horizontal="center"/>
    </xf>
    <xf numFmtId="3" fontId="0" fillId="0" borderId="11" xfId="0" quotePrefix="1" applyNumberFormat="1" applyFont="1" applyBorder="1" applyAlignment="1">
      <alignment horizontal="center"/>
    </xf>
    <xf numFmtId="0" fontId="4" fillId="0" borderId="15" xfId="0" applyFont="1" applyBorder="1" applyAlignment="1">
      <alignment horizontal="center"/>
    </xf>
    <xf numFmtId="0" fontId="4" fillId="0" borderId="50" xfId="0" applyFont="1" applyBorder="1" applyAlignment="1">
      <alignment horizontal="center"/>
    </xf>
    <xf numFmtId="0" fontId="0" fillId="0" borderId="50" xfId="0" applyFont="1" applyBorder="1"/>
    <xf numFmtId="3" fontId="3" fillId="0" borderId="2" xfId="0" applyNumberFormat="1" applyFont="1" applyBorder="1" applyAlignment="1">
      <alignment horizontal="right"/>
    </xf>
    <xf numFmtId="0" fontId="4" fillId="13" borderId="9" xfId="0" applyFont="1" applyFill="1" applyBorder="1"/>
    <xf numFmtId="0" fontId="4" fillId="13" borderId="9" xfId="0" applyFont="1" applyFill="1" applyBorder="1" applyAlignment="1">
      <alignment horizontal="center"/>
    </xf>
    <xf numFmtId="0" fontId="4" fillId="6" borderId="12" xfId="0" applyFont="1" applyFill="1" applyBorder="1" applyAlignment="1">
      <alignment horizontal="left"/>
    </xf>
    <xf numFmtId="3" fontId="4" fillId="6" borderId="13" xfId="0" applyNumberFormat="1" applyFont="1" applyFill="1" applyBorder="1" applyAlignment="1">
      <alignment horizontal="center"/>
    </xf>
    <xf numFmtId="3" fontId="4" fillId="6" borderId="14" xfId="0" applyNumberFormat="1" applyFont="1" applyFill="1" applyBorder="1" applyAlignment="1">
      <alignment horizontal="center"/>
    </xf>
    <xf numFmtId="3" fontId="9" fillId="0" borderId="2" xfId="0" applyNumberFormat="1" applyFont="1" applyFill="1" applyBorder="1" applyAlignment="1">
      <alignment horizontal="center"/>
    </xf>
    <xf numFmtId="0" fontId="0" fillId="0" borderId="0" xfId="0" applyBorder="1" applyAlignment="1"/>
    <xf numFmtId="0" fontId="3" fillId="0" borderId="1" xfId="0" applyFont="1" applyBorder="1"/>
    <xf numFmtId="3" fontId="0" fillId="0" borderId="2" xfId="0" applyNumberFormat="1" applyBorder="1"/>
    <xf numFmtId="0" fontId="3" fillId="0" borderId="8" xfId="0" applyFont="1" applyBorder="1"/>
    <xf numFmtId="3" fontId="4" fillId="9" borderId="9" xfId="0" applyNumberFormat="1" applyFont="1" applyFill="1" applyBorder="1"/>
    <xf numFmtId="0" fontId="4" fillId="9" borderId="11" xfId="0" applyFont="1" applyFill="1" applyBorder="1" applyAlignment="1">
      <alignment horizontal="center"/>
    </xf>
    <xf numFmtId="3" fontId="0" fillId="3" borderId="0" xfId="0" applyNumberFormat="1" applyFill="1" applyBorder="1"/>
    <xf numFmtId="0" fontId="3" fillId="3" borderId="0" xfId="0" applyFont="1" applyFill="1" applyBorder="1" applyAlignment="1">
      <alignment horizontal="center"/>
    </xf>
    <xf numFmtId="9" fontId="0" fillId="0" borderId="0" xfId="1" applyFont="1" applyFill="1" applyBorder="1" applyAlignment="1">
      <alignment horizontal="center"/>
    </xf>
    <xf numFmtId="9" fontId="0" fillId="0" borderId="7" xfId="1" applyFont="1" applyFill="1" applyBorder="1" applyAlignment="1">
      <alignment horizontal="center"/>
    </xf>
    <xf numFmtId="0" fontId="4" fillId="0" borderId="2" xfId="0" applyFont="1" applyBorder="1"/>
    <xf numFmtId="0" fontId="4" fillId="0" borderId="3" xfId="0" applyFont="1" applyBorder="1"/>
    <xf numFmtId="0" fontId="4" fillId="0" borderId="5" xfId="0" applyFont="1" applyBorder="1"/>
    <xf numFmtId="0" fontId="55" fillId="0" borderId="0" xfId="0" applyFont="1" applyAlignment="1">
      <alignment vertical="center"/>
    </xf>
    <xf numFmtId="0" fontId="56" fillId="0" borderId="0" xfId="0" applyFont="1" applyBorder="1" applyAlignment="1">
      <alignment horizontal="center" vertical="center" wrapText="1"/>
    </xf>
    <xf numFmtId="0" fontId="60" fillId="24" borderId="0" xfId="0" applyFont="1" applyFill="1" applyBorder="1" applyAlignment="1">
      <alignment horizontal="center" vertical="center" wrapText="1"/>
    </xf>
    <xf numFmtId="0" fontId="0" fillId="0" borderId="0" xfId="0" applyFont="1" applyBorder="1" applyAlignment="1">
      <alignment wrapText="1"/>
    </xf>
    <xf numFmtId="0" fontId="57" fillId="0" borderId="0" xfId="0" applyFont="1" applyAlignment="1">
      <alignment vertical="center" wrapText="1"/>
    </xf>
    <xf numFmtId="0" fontId="56" fillId="0" borderId="0" xfId="0" applyFont="1" applyBorder="1" applyAlignment="1">
      <alignment horizontal="right" vertical="center" wrapText="1"/>
    </xf>
    <xf numFmtId="9" fontId="56" fillId="0" borderId="0" xfId="1" applyFont="1" applyBorder="1" applyAlignment="1">
      <alignment horizontal="right" vertical="center" wrapText="1"/>
    </xf>
    <xf numFmtId="0" fontId="62" fillId="0" borderId="0" xfId="0" applyFont="1" applyBorder="1" applyAlignment="1">
      <alignment horizontal="center" vertical="center" wrapText="1"/>
    </xf>
    <xf numFmtId="164" fontId="56" fillId="0" borderId="0" xfId="1" applyNumberFormat="1" applyFont="1" applyBorder="1" applyAlignment="1">
      <alignment horizontal="right" vertical="center" wrapText="1"/>
    </xf>
    <xf numFmtId="3" fontId="56" fillId="0" borderId="0" xfId="0" applyNumberFormat="1" applyFont="1" applyBorder="1" applyAlignment="1">
      <alignment horizontal="right" vertical="center" wrapText="1"/>
    </xf>
    <xf numFmtId="3" fontId="62" fillId="0" borderId="0" xfId="0" applyNumberFormat="1" applyFont="1" applyBorder="1" applyAlignment="1">
      <alignment horizontal="center" vertical="center" wrapText="1"/>
    </xf>
    <xf numFmtId="3" fontId="62" fillId="0" borderId="0" xfId="0" applyNumberFormat="1" applyFont="1" applyFill="1" applyBorder="1" applyAlignment="1">
      <alignment horizontal="center" vertical="center" wrapText="1"/>
    </xf>
    <xf numFmtId="3" fontId="3" fillId="0" borderId="0" xfId="0" applyNumberFormat="1" applyFont="1" applyAlignment="1">
      <alignment horizontal="center"/>
    </xf>
    <xf numFmtId="0" fontId="56" fillId="0" borderId="0" xfId="0" applyFont="1" applyFill="1" applyBorder="1" applyAlignment="1">
      <alignment horizontal="center" vertical="center" wrapText="1"/>
    </xf>
    <xf numFmtId="9" fontId="0" fillId="0" borderId="0" xfId="0" applyNumberFormat="1" applyFont="1" applyBorder="1"/>
    <xf numFmtId="164" fontId="0" fillId="0" borderId="0" xfId="0" applyNumberFormat="1" applyFont="1" applyBorder="1"/>
    <xf numFmtId="9" fontId="0" fillId="0" borderId="0" xfId="0" applyNumberFormat="1"/>
    <xf numFmtId="0" fontId="0" fillId="0" borderId="0" xfId="0" applyFont="1" applyBorder="1" applyAlignment="1">
      <alignment horizontal="right"/>
    </xf>
    <xf numFmtId="9" fontId="0" fillId="0" borderId="0" xfId="1" applyFont="1" applyBorder="1"/>
    <xf numFmtId="9" fontId="0" fillId="0" borderId="0" xfId="1" applyFont="1" applyAlignment="1">
      <alignment horizontal="center"/>
    </xf>
    <xf numFmtId="1" fontId="0" fillId="0" borderId="0" xfId="0" applyNumberFormat="1" applyFont="1" applyBorder="1" applyAlignment="1">
      <alignment horizontal="center"/>
    </xf>
    <xf numFmtId="0" fontId="0" fillId="0" borderId="2" xfId="0" applyBorder="1" applyAlignment="1">
      <alignment horizontal="center"/>
    </xf>
    <xf numFmtId="0" fontId="0" fillId="0" borderId="0" xfId="0" applyAlignment="1">
      <alignment horizontal="center"/>
    </xf>
    <xf numFmtId="0" fontId="13" fillId="0" borderId="0" xfId="0" applyFont="1"/>
    <xf numFmtId="49" fontId="0" fillId="0" borderId="0" xfId="0" applyNumberFormat="1" applyAlignment="1">
      <alignment vertical="top" wrapText="1"/>
    </xf>
    <xf numFmtId="0" fontId="0" fillId="0" borderId="0" xfId="0" applyAlignment="1">
      <alignment vertical="center"/>
    </xf>
    <xf numFmtId="0" fontId="0" fillId="0" borderId="2" xfId="0" applyBorder="1" applyAlignment="1">
      <alignment vertical="center"/>
    </xf>
    <xf numFmtId="0" fontId="10" fillId="9" borderId="2" xfId="0" applyFont="1" applyFill="1" applyBorder="1" applyAlignment="1">
      <alignment horizontal="center"/>
    </xf>
    <xf numFmtId="0" fontId="11" fillId="0" borderId="2" xfId="0" applyFont="1" applyBorder="1" applyAlignment="1">
      <alignment horizontal="center"/>
    </xf>
    <xf numFmtId="0" fontId="4" fillId="0" borderId="15" xfId="0" applyFont="1" applyBorder="1" applyAlignment="1">
      <alignment horizontal="center" wrapText="1"/>
    </xf>
    <xf numFmtId="0" fontId="4" fillId="0" borderId="15" xfId="0" applyFont="1" applyBorder="1" applyAlignment="1">
      <alignment horizontal="center" vertical="center" textRotation="90"/>
    </xf>
    <xf numFmtId="0" fontId="4" fillId="0" borderId="15" xfId="0" applyFont="1" applyBorder="1" applyAlignment="1">
      <alignment horizontal="center" vertical="center" textRotation="90" wrapText="1"/>
    </xf>
    <xf numFmtId="0" fontId="17" fillId="0" borderId="15" xfId="3" applyFont="1" applyBorder="1" applyAlignment="1">
      <alignment horizontal="center" vertical="center" textRotation="90"/>
    </xf>
    <xf numFmtId="0" fontId="4" fillId="11" borderId="9" xfId="0" applyFont="1" applyFill="1" applyBorder="1" applyAlignment="1">
      <alignment horizontal="center"/>
    </xf>
    <xf numFmtId="0" fontId="0" fillId="0" borderId="9" xfId="0" applyBorder="1" applyAlignment="1"/>
    <xf numFmtId="0" fontId="4" fillId="0" borderId="20" xfId="0" applyFont="1" applyFill="1" applyBorder="1" applyAlignment="1">
      <alignment horizontal="center" vertical="center" textRotation="90"/>
    </xf>
    <xf numFmtId="0" fontId="4" fillId="0" borderId="20" xfId="0" applyFont="1" applyBorder="1" applyAlignment="1">
      <alignment horizontal="center" vertical="center" textRotation="90"/>
    </xf>
    <xf numFmtId="0" fontId="0" fillId="0" borderId="2" xfId="0" quotePrefix="1" applyFill="1" applyBorder="1" applyAlignment="1">
      <alignment horizontal="center"/>
    </xf>
    <xf numFmtId="0" fontId="0" fillId="0" borderId="0" xfId="0" applyFill="1" applyBorder="1" applyAlignment="1">
      <alignment horizontal="center" vertical="center"/>
    </xf>
    <xf numFmtId="0" fontId="0" fillId="0" borderId="0" xfId="0" applyAlignment="1">
      <alignment horizontal="center" vertical="center"/>
    </xf>
    <xf numFmtId="0" fontId="3" fillId="0" borderId="0" xfId="0" quotePrefix="1" applyFont="1" applyFill="1" applyBorder="1" applyAlignment="1">
      <alignment horizontal="center" vertical="center"/>
    </xf>
    <xf numFmtId="0" fontId="3" fillId="0" borderId="0" xfId="0" applyFont="1" applyAlignment="1">
      <alignment horizontal="center" vertical="center"/>
    </xf>
    <xf numFmtId="3" fontId="3" fillId="0" borderId="0" xfId="0" quotePrefix="1" applyNumberFormat="1" applyFont="1" applyFill="1" applyBorder="1" applyAlignment="1">
      <alignment horizontal="center"/>
    </xf>
    <xf numFmtId="0" fontId="3" fillId="0" borderId="9" xfId="0" quotePrefix="1" applyFont="1" applyFill="1" applyBorder="1" applyAlignment="1">
      <alignment horizontal="center"/>
    </xf>
    <xf numFmtId="3" fontId="18" fillId="11" borderId="13" xfId="0" applyNumberFormat="1" applyFont="1" applyFill="1" applyBorder="1" applyAlignment="1">
      <alignment horizontal="center"/>
    </xf>
    <xf numFmtId="0" fontId="4" fillId="0" borderId="1" xfId="0" applyFont="1" applyFill="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8" xfId="0" applyFont="1" applyBorder="1" applyAlignment="1">
      <alignment horizontal="center" vertical="center" textRotation="90" wrapText="1"/>
    </xf>
    <xf numFmtId="0" fontId="14" fillId="0" borderId="0" xfId="0" quotePrefix="1" applyFont="1" applyFill="1" applyBorder="1" applyAlignment="1">
      <alignment horizontal="center" vertical="center"/>
    </xf>
    <xf numFmtId="3" fontId="3" fillId="0" borderId="0" xfId="0" applyNumberFormat="1" applyFont="1" applyAlignment="1">
      <alignment horizontal="center"/>
    </xf>
    <xf numFmtId="0" fontId="19" fillId="0" borderId="1" xfId="3" applyFont="1" applyBorder="1" applyAlignment="1">
      <alignment horizontal="center" vertical="center" textRotation="90" wrapText="1"/>
    </xf>
    <xf numFmtId="0" fontId="19" fillId="0" borderId="5" xfId="3" applyFont="1" applyBorder="1" applyAlignment="1">
      <alignment horizontal="center" vertical="center" textRotation="90" wrapText="1"/>
    </xf>
    <xf numFmtId="0" fontId="19" fillId="0" borderId="8" xfId="3" applyFont="1" applyBorder="1" applyAlignment="1">
      <alignment horizontal="center" vertical="center" textRotation="90" wrapText="1"/>
    </xf>
    <xf numFmtId="164" fontId="3" fillId="0" borderId="0" xfId="0" applyNumberFormat="1" applyFont="1" applyFill="1" applyBorder="1" applyAlignment="1">
      <alignment horizontal="center"/>
    </xf>
    <xf numFmtId="0" fontId="3" fillId="0" borderId="0" xfId="0" applyFont="1" applyAlignment="1">
      <alignment horizontal="center"/>
    </xf>
    <xf numFmtId="3" fontId="3" fillId="11" borderId="13" xfId="0" applyNumberFormat="1" applyFont="1" applyFill="1" applyBorder="1" applyAlignment="1">
      <alignment horizontal="center"/>
    </xf>
    <xf numFmtId="0" fontId="4" fillId="12" borderId="1" xfId="0" applyFont="1" applyFill="1" applyBorder="1" applyAlignment="1">
      <alignment horizontal="center" vertical="center"/>
    </xf>
    <xf numFmtId="0" fontId="0" fillId="12" borderId="2" xfId="0" applyFill="1" applyBorder="1" applyAlignment="1">
      <alignment horizontal="center" vertical="center"/>
    </xf>
    <xf numFmtId="0" fontId="0" fillId="12" borderId="8" xfId="0" applyFill="1" applyBorder="1" applyAlignment="1">
      <alignment horizontal="center" vertical="center"/>
    </xf>
    <xf numFmtId="0" fontId="0" fillId="12" borderId="9" xfId="0" applyFill="1" applyBorder="1" applyAlignment="1">
      <alignment horizontal="center" vertical="center"/>
    </xf>
    <xf numFmtId="0" fontId="10" fillId="13" borderId="1" xfId="0" applyFont="1" applyFill="1" applyBorder="1" applyAlignment="1">
      <alignment horizontal="center"/>
    </xf>
    <xf numFmtId="0" fontId="10" fillId="13" borderId="2" xfId="0" applyFont="1" applyFill="1" applyBorder="1" applyAlignment="1">
      <alignment horizontal="center"/>
    </xf>
    <xf numFmtId="0" fontId="24" fillId="0" borderId="28" xfId="0" applyFont="1" applyBorder="1" applyAlignment="1">
      <alignment horizontal="left" vertical="center" wrapText="1" indent="1"/>
    </xf>
    <xf numFmtId="0" fontId="24" fillId="0" borderId="34" xfId="0" applyFont="1" applyBorder="1" applyAlignment="1">
      <alignment horizontal="left" vertical="center" wrapText="1" indent="1"/>
    </xf>
    <xf numFmtId="0" fontId="24" fillId="0" borderId="24"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33"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29" xfId="0" applyFont="1" applyBorder="1" applyAlignment="1">
      <alignment horizontal="right" vertical="center" wrapText="1"/>
    </xf>
    <xf numFmtId="0" fontId="27" fillId="0" borderId="26" xfId="0" applyFont="1" applyBorder="1" applyAlignment="1">
      <alignment horizontal="right" vertical="center" wrapText="1"/>
    </xf>
    <xf numFmtId="0" fontId="27" fillId="0" borderId="26" xfId="0" applyFont="1" applyBorder="1" applyAlignment="1">
      <alignment vertical="center" wrapText="1"/>
    </xf>
    <xf numFmtId="0" fontId="24" fillId="0" borderId="26" xfId="0" applyFont="1" applyBorder="1" applyAlignment="1">
      <alignment horizontal="right" vertical="center" wrapText="1"/>
    </xf>
    <xf numFmtId="0" fontId="27" fillId="0" borderId="25" xfId="0" applyFont="1" applyBorder="1" applyAlignment="1">
      <alignment horizontal="left" vertical="center" wrapText="1" indent="2"/>
    </xf>
    <xf numFmtId="0" fontId="27" fillId="0" borderId="27" xfId="0" applyFont="1" applyBorder="1" applyAlignment="1">
      <alignment horizontal="left" vertical="center" wrapText="1" indent="2"/>
    </xf>
    <xf numFmtId="0" fontId="27" fillId="0" borderId="32" xfId="0" applyFont="1" applyBorder="1" applyAlignment="1">
      <alignment horizontal="left" vertical="center" wrapText="1" indent="2"/>
    </xf>
    <xf numFmtId="0" fontId="27" fillId="0" borderId="33" xfId="0" applyFont="1" applyBorder="1" applyAlignment="1">
      <alignment horizontal="left" vertical="center" wrapText="1" indent="2"/>
    </xf>
    <xf numFmtId="0" fontId="27" fillId="0" borderId="25" xfId="0" applyFont="1" applyBorder="1" applyAlignment="1">
      <alignment horizontal="center" vertical="center" wrapText="1"/>
    </xf>
    <xf numFmtId="0" fontId="27" fillId="0" borderId="27" xfId="0" applyFont="1" applyBorder="1" applyAlignment="1">
      <alignment horizontal="center" vertical="center" wrapText="1"/>
    </xf>
    <xf numFmtId="0" fontId="24" fillId="0" borderId="28" xfId="0" applyFont="1" applyBorder="1" applyAlignment="1">
      <alignment vertical="center" wrapText="1"/>
    </xf>
    <xf numFmtId="0" fontId="24" fillId="0" borderId="34" xfId="0" applyFont="1" applyBorder="1" applyAlignment="1">
      <alignment vertical="center" wrapText="1"/>
    </xf>
    <xf numFmtId="0" fontId="27" fillId="0" borderId="24" xfId="0" applyFont="1" applyBorder="1" applyAlignment="1">
      <alignment horizontal="center" vertical="center" wrapText="1"/>
    </xf>
    <xf numFmtId="0" fontId="27" fillId="0" borderId="35" xfId="0" applyFont="1" applyBorder="1" applyAlignment="1">
      <alignment horizontal="center" vertical="center" wrapText="1"/>
    </xf>
    <xf numFmtId="0" fontId="27" fillId="0" borderId="31"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38" xfId="0" applyFont="1" applyBorder="1" applyAlignment="1">
      <alignment horizontal="right" vertical="center" wrapText="1"/>
    </xf>
    <xf numFmtId="0" fontId="24" fillId="0" borderId="39" xfId="0" applyFont="1" applyBorder="1" applyAlignment="1">
      <alignment horizontal="right" vertical="center" wrapText="1"/>
    </xf>
    <xf numFmtId="0" fontId="24" fillId="0" borderId="40"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28" xfId="0" applyFont="1" applyBorder="1" applyAlignment="1">
      <alignment horizontal="center" vertical="center" wrapText="1"/>
    </xf>
    <xf numFmtId="0" fontId="24" fillId="0" borderId="32" xfId="0" applyFont="1" applyBorder="1" applyAlignment="1">
      <alignment horizontal="right" vertical="center" wrapText="1"/>
    </xf>
    <xf numFmtId="0" fontId="24" fillId="0" borderId="34" xfId="0" applyFont="1" applyBorder="1" applyAlignment="1">
      <alignment horizontal="right" vertical="center" wrapText="1"/>
    </xf>
    <xf numFmtId="0" fontId="24" fillId="0" borderId="25" xfId="0" applyFont="1" applyBorder="1" applyAlignment="1">
      <alignment horizontal="left" vertical="center" wrapText="1" indent="1"/>
    </xf>
    <xf numFmtId="0" fontId="24" fillId="0" borderId="32" xfId="0" applyFont="1" applyBorder="1" applyAlignment="1">
      <alignment horizontal="left" vertical="center" wrapText="1" indent="1"/>
    </xf>
    <xf numFmtId="0" fontId="24" fillId="0" borderId="25" xfId="0" applyFont="1" applyBorder="1" applyAlignment="1">
      <alignment horizontal="right" vertical="center" wrapText="1"/>
    </xf>
    <xf numFmtId="0" fontId="24" fillId="0" borderId="28"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38" xfId="0" applyFont="1" applyBorder="1" applyAlignment="1">
      <alignment horizontal="left" vertical="center" wrapText="1" indent="1"/>
    </xf>
    <xf numFmtId="0" fontId="4" fillId="0" borderId="50" xfId="0" applyFont="1" applyBorder="1" applyAlignment="1">
      <alignment horizontal="center" vertical="center" textRotation="90" wrapText="1"/>
    </xf>
    <xf numFmtId="0" fontId="0" fillId="0" borderId="20" xfId="0" applyBorder="1" applyAlignment="1">
      <alignment horizontal="center" vertical="center" textRotation="90" wrapText="1"/>
    </xf>
    <xf numFmtId="0" fontId="0" fillId="0" borderId="51" xfId="0" applyBorder="1" applyAlignment="1">
      <alignment horizontal="center" vertical="center" textRotation="90" wrapText="1"/>
    </xf>
    <xf numFmtId="0" fontId="0" fillId="0" borderId="15" xfId="0" applyBorder="1" applyAlignment="1">
      <alignment horizontal="center" vertical="center" textRotation="90" wrapText="1"/>
    </xf>
    <xf numFmtId="0" fontId="0" fillId="0" borderId="0" xfId="0" applyFont="1" applyAlignment="1">
      <alignment horizontal="center" vertical="center"/>
    </xf>
    <xf numFmtId="0" fontId="0" fillId="0" borderId="50" xfId="0" applyBorder="1" applyAlignment="1">
      <alignment horizontal="center" vertical="center" textRotation="90" wrapText="1"/>
    </xf>
    <xf numFmtId="0" fontId="0" fillId="12" borderId="3" xfId="0" applyFill="1" applyBorder="1" applyAlignment="1">
      <alignment horizontal="center" vertical="center"/>
    </xf>
    <xf numFmtId="0" fontId="0" fillId="12" borderId="11" xfId="0" applyFill="1" applyBorder="1" applyAlignment="1">
      <alignment horizontal="center" vertical="center"/>
    </xf>
    <xf numFmtId="0" fontId="4" fillId="0" borderId="20" xfId="0" applyFont="1" applyBorder="1" applyAlignment="1">
      <alignment horizontal="center" vertical="center" textRotation="90" wrapText="1"/>
    </xf>
    <xf numFmtId="0" fontId="4" fillId="0" borderId="51" xfId="0" applyFont="1" applyBorder="1" applyAlignment="1">
      <alignment horizontal="center" vertical="center" textRotation="90" wrapText="1"/>
    </xf>
    <xf numFmtId="3" fontId="19" fillId="3" borderId="13" xfId="0" applyNumberFormat="1" applyFont="1" applyFill="1" applyBorder="1" applyAlignment="1">
      <alignment horizontal="center"/>
    </xf>
    <xf numFmtId="0" fontId="0" fillId="0" borderId="14" xfId="0" applyBorder="1" applyAlignment="1">
      <alignment horizontal="center"/>
    </xf>
    <xf numFmtId="0" fontId="30" fillId="0" borderId="50" xfId="0" applyFont="1" applyBorder="1" applyAlignment="1">
      <alignment horizontal="center" vertical="center" textRotation="90" wrapText="1"/>
    </xf>
    <xf numFmtId="0" fontId="30" fillId="0" borderId="51" xfId="0" applyFont="1" applyBorder="1" applyAlignment="1">
      <alignment horizontal="center" vertical="center" textRotation="90" wrapText="1"/>
    </xf>
    <xf numFmtId="0" fontId="27" fillId="0" borderId="47" xfId="0" applyFont="1" applyBorder="1" applyAlignment="1">
      <alignment horizontal="center" vertical="center" wrapText="1"/>
    </xf>
    <xf numFmtId="0" fontId="27" fillId="0" borderId="52" xfId="0" applyFont="1" applyBorder="1" applyAlignment="1">
      <alignment horizontal="left" vertical="center" wrapText="1" indent="1"/>
    </xf>
    <xf numFmtId="0" fontId="27" fillId="0" borderId="54" xfId="0" applyFont="1" applyBorder="1" applyAlignment="1">
      <alignment horizontal="left" vertical="center" wrapText="1" indent="1"/>
    </xf>
    <xf numFmtId="0" fontId="27" fillId="0" borderId="39" xfId="0" applyFont="1" applyBorder="1" applyAlignment="1">
      <alignment horizontal="left" vertical="center" wrapText="1" indent="1"/>
    </xf>
    <xf numFmtId="0" fontId="27" fillId="0" borderId="47" xfId="0" applyFont="1" applyBorder="1" applyAlignment="1">
      <alignment horizontal="left" vertical="center" wrapText="1" indent="1"/>
    </xf>
    <xf numFmtId="0" fontId="0" fillId="0" borderId="53" xfId="0" applyFont="1" applyBorder="1" applyAlignment="1">
      <alignment wrapText="1"/>
    </xf>
    <xf numFmtId="0" fontId="0" fillId="0" borderId="45" xfId="0" applyFont="1" applyBorder="1" applyAlignment="1">
      <alignment wrapText="1"/>
    </xf>
    <xf numFmtId="0" fontId="0" fillId="0" borderId="54" xfId="0" applyFont="1" applyBorder="1" applyAlignment="1">
      <alignment wrapText="1"/>
    </xf>
    <xf numFmtId="0" fontId="0" fillId="0" borderId="49" xfId="0" applyFont="1" applyBorder="1" applyAlignment="1">
      <alignment wrapText="1"/>
    </xf>
    <xf numFmtId="0" fontId="27" fillId="0" borderId="41" xfId="0" applyFont="1" applyBorder="1" applyAlignment="1">
      <alignment horizontal="center" vertical="center" wrapText="1"/>
    </xf>
    <xf numFmtId="0" fontId="27" fillId="0" borderId="45"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0" xfId="0" applyFont="1" applyAlignment="1">
      <alignment horizontal="center" vertical="center" wrapText="1"/>
    </xf>
    <xf numFmtId="0" fontId="27" fillId="0" borderId="52" xfId="0" applyFont="1" applyBorder="1" applyAlignment="1">
      <alignment horizontal="right" vertical="center" wrapText="1"/>
    </xf>
    <xf numFmtId="0" fontId="27" fillId="0" borderId="53" xfId="0" applyFont="1" applyBorder="1" applyAlignment="1">
      <alignment horizontal="right" vertical="center" wrapText="1"/>
    </xf>
    <xf numFmtId="0" fontId="27" fillId="0" borderId="54" xfId="0" applyFont="1" applyBorder="1" applyAlignment="1">
      <alignment horizontal="right" vertical="center" wrapText="1"/>
    </xf>
    <xf numFmtId="0" fontId="27" fillId="0" borderId="39" xfId="0" applyFont="1" applyBorder="1" applyAlignment="1">
      <alignment horizontal="left" vertical="center" wrapText="1" indent="3"/>
    </xf>
    <xf numFmtId="0" fontId="27" fillId="0" borderId="0" xfId="0" applyFont="1" applyAlignment="1">
      <alignment horizontal="left" vertical="center" wrapText="1" indent="3"/>
    </xf>
    <xf numFmtId="0" fontId="27" fillId="0" borderId="47" xfId="0" applyFont="1" applyBorder="1" applyAlignment="1">
      <alignment horizontal="left" vertical="center" wrapText="1" indent="3"/>
    </xf>
    <xf numFmtId="0" fontId="27" fillId="0" borderId="39" xfId="0" applyFont="1" applyBorder="1" applyAlignment="1">
      <alignment vertical="center" wrapText="1"/>
    </xf>
    <xf numFmtId="0" fontId="27" fillId="0" borderId="0" xfId="0" applyFont="1" applyAlignment="1">
      <alignment vertical="center" wrapText="1"/>
    </xf>
    <xf numFmtId="0" fontId="27" fillId="0" borderId="47" xfId="0" applyFont="1" applyBorder="1" applyAlignment="1">
      <alignment vertical="center" wrapText="1"/>
    </xf>
    <xf numFmtId="0" fontId="27" fillId="0" borderId="39"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4" xfId="0" applyFont="1" applyBorder="1" applyAlignment="1">
      <alignment horizontal="center" vertical="center" wrapText="1"/>
    </xf>
    <xf numFmtId="0" fontId="27" fillId="0" borderId="55" xfId="0" applyFont="1" applyBorder="1" applyAlignment="1">
      <alignment vertical="center" wrapText="1"/>
    </xf>
    <xf numFmtId="0" fontId="27" fillId="0" borderId="56" xfId="0" applyFont="1" applyBorder="1" applyAlignment="1">
      <alignment vertical="center" wrapText="1"/>
    </xf>
    <xf numFmtId="0" fontId="27" fillId="0" borderId="57" xfId="0" applyFont="1" applyBorder="1" applyAlignment="1">
      <alignment vertical="center" wrapText="1"/>
    </xf>
    <xf numFmtId="0" fontId="27" fillId="0" borderId="53" xfId="0" applyFont="1" applyBorder="1" applyAlignment="1">
      <alignment horizontal="center" vertical="center" wrapText="1"/>
    </xf>
    <xf numFmtId="0" fontId="4" fillId="13" borderId="1" xfId="0" applyFont="1" applyFill="1" applyBorder="1" applyAlignment="1">
      <alignment horizontal="center"/>
    </xf>
    <xf numFmtId="0" fontId="4" fillId="0" borderId="2" xfId="0" applyFont="1" applyBorder="1" applyAlignment="1">
      <alignment horizontal="center"/>
    </xf>
    <xf numFmtId="0" fontId="4" fillId="13" borderId="8" xfId="0" applyFont="1" applyFill="1" applyBorder="1" applyAlignment="1">
      <alignment horizontal="center"/>
    </xf>
    <xf numFmtId="0" fontId="0" fillId="0" borderId="9" xfId="0" applyBorder="1" applyAlignment="1">
      <alignment horizontal="center"/>
    </xf>
    <xf numFmtId="0" fontId="4" fillId="0" borderId="50" xfId="0" applyFont="1" applyBorder="1" applyAlignment="1">
      <alignment horizontal="center" vertical="center" textRotation="90"/>
    </xf>
    <xf numFmtId="0" fontId="0" fillId="0" borderId="2" xfId="0" applyBorder="1" applyAlignment="1">
      <alignment horizontal="center"/>
    </xf>
    <xf numFmtId="3" fontId="0" fillId="0" borderId="0" xfId="0" applyNumberFormat="1" applyFont="1" applyFill="1" applyBorder="1" applyAlignment="1">
      <alignment horizontal="center"/>
    </xf>
    <xf numFmtId="0" fontId="0" fillId="0" borderId="0" xfId="0" applyFont="1" applyBorder="1" applyAlignment="1">
      <alignment horizontal="center"/>
    </xf>
    <xf numFmtId="3" fontId="13" fillId="0" borderId="0" xfId="0" applyNumberFormat="1" applyFont="1" applyFill="1" applyBorder="1" applyAlignment="1">
      <alignment horizontal="center"/>
    </xf>
    <xf numFmtId="0" fontId="0" fillId="0" borderId="0" xfId="0" applyBorder="1" applyAlignment="1">
      <alignment horizontal="center"/>
    </xf>
    <xf numFmtId="0" fontId="4" fillId="0" borderId="50" xfId="0" applyFont="1" applyFill="1" applyBorder="1" applyAlignment="1">
      <alignment horizontal="center" vertical="center" textRotation="90"/>
    </xf>
    <xf numFmtId="0" fontId="4" fillId="0" borderId="51" xfId="0" applyFont="1" applyBorder="1" applyAlignment="1">
      <alignment horizontal="center" vertical="center" textRotation="90"/>
    </xf>
    <xf numFmtId="9" fontId="0" fillId="0" borderId="0" xfId="0" applyNumberFormat="1" applyFont="1" applyFill="1" applyBorder="1" applyAlignment="1">
      <alignment horizontal="center" vertical="center"/>
    </xf>
    <xf numFmtId="9" fontId="0" fillId="0" borderId="0" xfId="0" applyNumberFormat="1" applyBorder="1" applyAlignment="1">
      <alignment horizontal="center" vertical="center"/>
    </xf>
    <xf numFmtId="0" fontId="0" fillId="0" borderId="0" xfId="0" applyBorder="1" applyAlignment="1">
      <alignment horizontal="center" vertical="center"/>
    </xf>
    <xf numFmtId="0" fontId="0" fillId="0" borderId="59" xfId="0" applyFill="1" applyBorder="1" applyAlignment="1">
      <alignment horizontal="center" wrapText="1"/>
    </xf>
    <xf numFmtId="0" fontId="0" fillId="0" borderId="60" xfId="0" applyFill="1" applyBorder="1" applyAlignment="1">
      <alignment horizontal="center" wrapText="1"/>
    </xf>
    <xf numFmtId="0" fontId="0" fillId="0" borderId="61" xfId="0" applyFill="1" applyBorder="1" applyAlignment="1">
      <alignment horizontal="center" wrapText="1"/>
    </xf>
    <xf numFmtId="0" fontId="0" fillId="0" borderId="65" xfId="0" applyFill="1" applyBorder="1" applyAlignment="1">
      <alignment horizontal="center" wrapText="1"/>
    </xf>
    <xf numFmtId="0" fontId="0" fillId="0" borderId="58" xfId="0" applyFill="1" applyBorder="1" applyAlignment="1">
      <alignment horizontal="center" wrapText="1"/>
    </xf>
    <xf numFmtId="0" fontId="0" fillId="0" borderId="66" xfId="0" applyFill="1" applyBorder="1" applyAlignment="1">
      <alignment horizontal="center" wrapText="1"/>
    </xf>
    <xf numFmtId="0" fontId="0" fillId="0" borderId="62" xfId="0" applyFill="1" applyBorder="1" applyAlignment="1">
      <alignment horizontal="center"/>
    </xf>
    <xf numFmtId="0" fontId="0" fillId="0" borderId="63" xfId="0" applyFill="1" applyBorder="1" applyAlignment="1">
      <alignment horizontal="center"/>
    </xf>
    <xf numFmtId="0" fontId="0" fillId="0" borderId="64" xfId="0" applyFill="1" applyBorder="1" applyAlignment="1">
      <alignment horizontal="center"/>
    </xf>
    <xf numFmtId="0" fontId="4" fillId="0" borderId="62" xfId="0" applyFont="1" applyFill="1" applyBorder="1" applyAlignment="1">
      <alignment horizontal="center"/>
    </xf>
    <xf numFmtId="0" fontId="4" fillId="0" borderId="63" xfId="0" applyFont="1" applyFill="1" applyBorder="1" applyAlignment="1">
      <alignment horizontal="center"/>
    </xf>
    <xf numFmtId="0" fontId="4" fillId="0" borderId="64" xfId="0" applyFont="1" applyFill="1" applyBorder="1" applyAlignment="1">
      <alignment horizontal="center"/>
    </xf>
    <xf numFmtId="3" fontId="13" fillId="0" borderId="3" xfId="0" applyNumberFormat="1" applyFont="1" applyBorder="1" applyAlignment="1">
      <alignment horizontal="right" vertical="center"/>
    </xf>
    <xf numFmtId="0" fontId="0" fillId="0" borderId="7" xfId="0" applyBorder="1" applyAlignment="1">
      <alignment horizontal="right" vertical="center"/>
    </xf>
    <xf numFmtId="0" fontId="0" fillId="0" borderId="11" xfId="0" applyBorder="1" applyAlignment="1">
      <alignment horizontal="right" vertical="center"/>
    </xf>
    <xf numFmtId="0" fontId="4" fillId="0" borderId="50" xfId="0" applyFont="1" applyFill="1" applyBorder="1" applyAlignment="1">
      <alignment horizontal="center" vertical="center" textRotation="90" wrapText="1"/>
    </xf>
    <xf numFmtId="0" fontId="0" fillId="0" borderId="2" xfId="0" applyFill="1" applyBorder="1" applyAlignment="1">
      <alignment horizontal="center"/>
    </xf>
    <xf numFmtId="164" fontId="0" fillId="0" borderId="0" xfId="0" applyNumberFormat="1" applyFill="1" applyBorder="1" applyAlignment="1">
      <alignment horizontal="center"/>
    </xf>
    <xf numFmtId="0" fontId="0" fillId="0" borderId="0" xfId="0" applyAlignment="1">
      <alignment horizontal="center"/>
    </xf>
    <xf numFmtId="164" fontId="15" fillId="0" borderId="0" xfId="0" applyNumberFormat="1" applyFont="1" applyFill="1" applyBorder="1" applyAlignment="1">
      <alignment horizontal="center" vertical="center"/>
    </xf>
    <xf numFmtId="3" fontId="0" fillId="0" borderId="0" xfId="0" quotePrefix="1" applyNumberFormat="1" applyFont="1" applyFill="1" applyBorder="1" applyAlignment="1">
      <alignment horizontal="center"/>
    </xf>
    <xf numFmtId="3" fontId="0" fillId="0" borderId="0" xfId="0" applyNumberFormat="1" applyFont="1" applyAlignment="1"/>
    <xf numFmtId="0" fontId="0" fillId="0" borderId="0" xfId="0" applyFont="1" applyAlignment="1"/>
    <xf numFmtId="0" fontId="0" fillId="0" borderId="9" xfId="0" applyFill="1" applyBorder="1" applyAlignment="1">
      <alignment horizontal="center"/>
    </xf>
    <xf numFmtId="3" fontId="4" fillId="0" borderId="2" xfId="0" applyNumberFormat="1" applyFont="1" applyBorder="1" applyAlignment="1">
      <alignment horizontal="center"/>
    </xf>
    <xf numFmtId="0" fontId="0" fillId="0" borderId="2" xfId="0" applyFont="1" applyFill="1" applyBorder="1" applyAlignment="1">
      <alignment horizontal="center"/>
    </xf>
    <xf numFmtId="0" fontId="11" fillId="13" borderId="2" xfId="0" applyFont="1" applyFill="1" applyBorder="1" applyAlignment="1">
      <alignment horizontal="center"/>
    </xf>
    <xf numFmtId="0" fontId="0" fillId="0" borderId="2" xfId="0" applyBorder="1" applyAlignment="1"/>
    <xf numFmtId="0" fontId="4" fillId="13" borderId="9" xfId="0" applyFont="1" applyFill="1" applyBorder="1" applyAlignment="1">
      <alignment horizontal="center"/>
    </xf>
    <xf numFmtId="0" fontId="0" fillId="0" borderId="0" xfId="0" applyFill="1" applyBorder="1" applyAlignment="1"/>
    <xf numFmtId="0" fontId="0" fillId="0" borderId="0" xfId="0" applyBorder="1" applyAlignment="1"/>
    <xf numFmtId="164" fontId="15" fillId="11" borderId="13" xfId="1" applyNumberFormat="1" applyFont="1" applyFill="1" applyBorder="1" applyAlignment="1">
      <alignment horizontal="center"/>
    </xf>
    <xf numFmtId="0" fontId="0" fillId="0" borderId="13" xfId="0" applyBorder="1" applyAlignment="1">
      <alignment horizontal="center"/>
    </xf>
    <xf numFmtId="3" fontId="15" fillId="11" borderId="13" xfId="0" applyNumberFormat="1" applyFont="1" applyFill="1" applyBorder="1" applyAlignment="1">
      <alignment horizontal="center"/>
    </xf>
    <xf numFmtId="3" fontId="0" fillId="11" borderId="13" xfId="0" applyNumberFormat="1" applyFill="1" applyBorder="1" applyAlignment="1">
      <alignment horizontal="center"/>
    </xf>
    <xf numFmtId="9" fontId="0" fillId="0" borderId="9" xfId="0" applyNumberFormat="1" applyFont="1" applyBorder="1" applyAlignment="1">
      <alignment horizontal="center"/>
    </xf>
    <xf numFmtId="0" fontId="0" fillId="0" borderId="9" xfId="0" applyFont="1" applyBorder="1" applyAlignment="1">
      <alignment horizontal="center"/>
    </xf>
    <xf numFmtId="0" fontId="0" fillId="0" borderId="9" xfId="0" applyFont="1" applyFill="1" applyBorder="1" applyAlignment="1">
      <alignment horizontal="center"/>
    </xf>
    <xf numFmtId="9" fontId="0" fillId="0" borderId="0" xfId="0" applyNumberFormat="1" applyFont="1" applyBorder="1" applyAlignment="1">
      <alignment horizontal="center"/>
    </xf>
    <xf numFmtId="0" fontId="0" fillId="0" borderId="0" xfId="0" applyFont="1" applyFill="1" applyBorder="1" applyAlignment="1">
      <alignment horizontal="center"/>
    </xf>
    <xf numFmtId="1" fontId="4" fillId="0" borderId="2" xfId="0" applyNumberFormat="1" applyFont="1" applyBorder="1" applyAlignment="1">
      <alignment horizontal="center"/>
    </xf>
    <xf numFmtId="3" fontId="4" fillId="0" borderId="0" xfId="0" applyNumberFormat="1" applyFont="1" applyBorder="1" applyAlignment="1">
      <alignment horizontal="center"/>
    </xf>
    <xf numFmtId="0" fontId="60" fillId="24" borderId="0" xfId="0" applyFont="1" applyFill="1" applyBorder="1" applyAlignment="1">
      <alignment horizontal="center" vertical="center" wrapText="1"/>
    </xf>
    <xf numFmtId="0" fontId="57" fillId="0" borderId="0" xfId="0" applyFont="1" applyBorder="1" applyAlignment="1">
      <alignment vertical="center" wrapText="1"/>
    </xf>
    <xf numFmtId="0" fontId="9" fillId="0" borderId="0" xfId="0" applyFont="1"/>
  </cellXfs>
  <cellStyles count="4">
    <cellStyle name="Hyperlink" xfId="2" builtinId="8"/>
    <cellStyle name="Normal" xfId="0" builtinId="0"/>
    <cellStyle name="Normal 3" xfId="3" xr:uid="{D626D1DD-3F67-4A7A-A2A9-F44B881BB95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92330125400992"/>
          <c:y val="5.0925925925925923E-2"/>
          <c:w val="0.84726246719160103"/>
          <c:h val="0.85093394575678039"/>
        </c:manualLayout>
      </c:layout>
      <c:barChart>
        <c:barDir val="col"/>
        <c:grouping val="stacked"/>
        <c:varyColors val="0"/>
        <c:ser>
          <c:idx val="0"/>
          <c:order val="0"/>
          <c:tx>
            <c:v>Wild</c:v>
          </c:tx>
          <c:spPr>
            <a:solidFill>
              <a:schemeClr val="accent1">
                <a:lumMod val="50000"/>
              </a:schemeClr>
            </a:solidFill>
            <a:ln>
              <a:solidFill>
                <a:schemeClr val="tx1"/>
              </a:solidFill>
            </a:ln>
            <a:effectLst/>
          </c:spPr>
          <c:invertIfNegative val="0"/>
          <c:cat>
            <c:numRef>
              <c:f>[1]Run!$R$7:$R$31</c:f>
              <c:numCache>
                <c:formatCode>General</c:formatCode>
                <c:ptCount val="25"/>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numCache>
            </c:numRef>
          </c:cat>
          <c:val>
            <c:numRef>
              <c:f>[1]Run!$P$7:$P$31</c:f>
              <c:numCache>
                <c:formatCode>General</c:formatCode>
                <c:ptCount val="25"/>
                <c:pt idx="0">
                  <c:v>17317</c:v>
                </c:pt>
                <c:pt idx="1">
                  <c:v>19394</c:v>
                </c:pt>
                <c:pt idx="2">
                  <c:v>9122</c:v>
                </c:pt>
                <c:pt idx="3">
                  <c:v>8104</c:v>
                </c:pt>
                <c:pt idx="4">
                  <c:v>8055</c:v>
                </c:pt>
                <c:pt idx="5">
                  <c:v>7625</c:v>
                </c:pt>
                <c:pt idx="6">
                  <c:v>8749</c:v>
                </c:pt>
                <c:pt idx="7">
                  <c:v>9375</c:v>
                </c:pt>
                <c:pt idx="8">
                  <c:v>11098</c:v>
                </c:pt>
                <c:pt idx="9">
                  <c:v>20575</c:v>
                </c:pt>
                <c:pt idx="10">
                  <c:v>40719</c:v>
                </c:pt>
                <c:pt idx="11">
                  <c:v>41931</c:v>
                </c:pt>
                <c:pt idx="12">
                  <c:v>29146</c:v>
                </c:pt>
                <c:pt idx="13">
                  <c:v>23071</c:v>
                </c:pt>
                <c:pt idx="14">
                  <c:v>18130</c:v>
                </c:pt>
                <c:pt idx="15">
                  <c:v>9510</c:v>
                </c:pt>
                <c:pt idx="16">
                  <c:v>14166</c:v>
                </c:pt>
                <c:pt idx="17">
                  <c:v>23876</c:v>
                </c:pt>
                <c:pt idx="18">
                  <c:v>42739</c:v>
                </c:pt>
                <c:pt idx="19">
                  <c:v>44133</c:v>
                </c:pt>
                <c:pt idx="20">
                  <c:v>39439</c:v>
                </c:pt>
                <c:pt idx="21">
                  <c:v>23143</c:v>
                </c:pt>
                <c:pt idx="22">
                  <c:v>25355</c:v>
                </c:pt>
                <c:pt idx="23">
                  <c:v>48108</c:v>
                </c:pt>
                <c:pt idx="24">
                  <c:v>36776</c:v>
                </c:pt>
              </c:numCache>
            </c:numRef>
          </c:val>
          <c:extLst>
            <c:ext xmlns:c16="http://schemas.microsoft.com/office/drawing/2014/chart" uri="{C3380CC4-5D6E-409C-BE32-E72D297353CC}">
              <c16:uniqueId val="{00000000-1035-4F3C-825F-CE17BC604395}"/>
            </c:ext>
          </c:extLst>
        </c:ser>
        <c:ser>
          <c:idx val="1"/>
          <c:order val="1"/>
          <c:tx>
            <c:v>Hatchery</c:v>
          </c:tx>
          <c:spPr>
            <a:solidFill>
              <a:schemeClr val="accent1">
                <a:lumMod val="75000"/>
              </a:schemeClr>
            </a:solidFill>
            <a:ln>
              <a:solidFill>
                <a:schemeClr val="tx1"/>
              </a:solidFill>
            </a:ln>
            <a:effectLst/>
          </c:spPr>
          <c:invertIfNegative val="0"/>
          <c:cat>
            <c:numRef>
              <c:f>[1]Run!$R$7:$R$31</c:f>
              <c:numCache>
                <c:formatCode>General</c:formatCode>
                <c:ptCount val="25"/>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numCache>
            </c:numRef>
          </c:cat>
          <c:val>
            <c:numRef>
              <c:f>[1]Run!$M$7:$M$31</c:f>
              <c:numCache>
                <c:formatCode>General</c:formatCode>
                <c:ptCount val="25"/>
                <c:pt idx="0">
                  <c:v>81768</c:v>
                </c:pt>
                <c:pt idx="1">
                  <c:v>108986</c:v>
                </c:pt>
                <c:pt idx="2">
                  <c:v>50552</c:v>
                </c:pt>
                <c:pt idx="3">
                  <c:v>39134</c:v>
                </c:pt>
                <c:pt idx="4">
                  <c:v>71090</c:v>
                </c:pt>
                <c:pt idx="5">
                  <c:v>79286</c:v>
                </c:pt>
                <c:pt idx="6">
                  <c:v>77897</c:v>
                </c:pt>
                <c:pt idx="7">
                  <c:v>61287</c:v>
                </c:pt>
                <c:pt idx="8">
                  <c:v>62953</c:v>
                </c:pt>
                <c:pt idx="9">
                  <c:v>96727</c:v>
                </c:pt>
                <c:pt idx="10">
                  <c:v>227747</c:v>
                </c:pt>
                <c:pt idx="11">
                  <c:v>180245</c:v>
                </c:pt>
                <c:pt idx="12">
                  <c:v>143364</c:v>
                </c:pt>
                <c:pt idx="13">
                  <c:v>128575</c:v>
                </c:pt>
                <c:pt idx="14">
                  <c:v>140035</c:v>
                </c:pt>
                <c:pt idx="15">
                  <c:v>139656</c:v>
                </c:pt>
                <c:pt idx="16">
                  <c:v>140976</c:v>
                </c:pt>
                <c:pt idx="17">
                  <c:v>154994</c:v>
                </c:pt>
                <c:pt idx="18">
                  <c:v>280643</c:v>
                </c:pt>
                <c:pt idx="19">
                  <c:v>164163</c:v>
                </c:pt>
                <c:pt idx="20">
                  <c:v>140881</c:v>
                </c:pt>
                <c:pt idx="21">
                  <c:v>86043</c:v>
                </c:pt>
                <c:pt idx="22">
                  <c:v>82799</c:v>
                </c:pt>
                <c:pt idx="23">
                  <c:v>116360</c:v>
                </c:pt>
                <c:pt idx="24">
                  <c:v>99373</c:v>
                </c:pt>
              </c:numCache>
            </c:numRef>
          </c:val>
          <c:extLst>
            <c:ext xmlns:c16="http://schemas.microsoft.com/office/drawing/2014/chart" uri="{C3380CC4-5D6E-409C-BE32-E72D297353CC}">
              <c16:uniqueId val="{00000001-1035-4F3C-825F-CE17BC604395}"/>
            </c:ext>
          </c:extLst>
        </c:ser>
        <c:dLbls>
          <c:showLegendKey val="0"/>
          <c:showVal val="0"/>
          <c:showCatName val="0"/>
          <c:showSerName val="0"/>
          <c:showPercent val="0"/>
          <c:showBubbleSize val="0"/>
        </c:dLbls>
        <c:gapWidth val="14"/>
        <c:overlap val="100"/>
        <c:axId val="444973848"/>
        <c:axId val="435745432"/>
      </c:barChart>
      <c:catAx>
        <c:axId val="444973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US"/>
          </a:p>
        </c:txPr>
        <c:crossAx val="435745432"/>
        <c:crosses val="autoZero"/>
        <c:auto val="1"/>
        <c:lblAlgn val="ctr"/>
        <c:lblOffset val="100"/>
        <c:tickLblSkip val="2"/>
        <c:noMultiLvlLbl val="0"/>
      </c:catAx>
      <c:valAx>
        <c:axId val="435745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solidFill>
                    <a:latin typeface="+mn-lt"/>
                    <a:ea typeface="+mn-ea"/>
                    <a:cs typeface="+mn-cs"/>
                  </a:defRPr>
                </a:pPr>
                <a:r>
                  <a:rPr lang="en-US" sz="1200"/>
                  <a:t>Return to Lower Granite Dam</a:t>
                </a:r>
              </a:p>
            </c:rich>
          </c:tx>
          <c:layout>
            <c:manualLayout>
              <c:xMode val="edge"/>
              <c:yMode val="edge"/>
              <c:x val="7.7638243234883775E-3"/>
              <c:y val="0.19859717859705997"/>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US"/>
          </a:p>
        </c:txPr>
        <c:crossAx val="444973848"/>
        <c:crosses val="autoZero"/>
        <c:crossBetween val="between"/>
      </c:valAx>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tx1"/>
          </a:solidFill>
        </a:ln>
        <a:effectLst/>
      </c:spPr>
    </c:plotArea>
    <c:legend>
      <c:legendPos val="r"/>
      <c:layout>
        <c:manualLayout>
          <c:xMode val="edge"/>
          <c:yMode val="edge"/>
          <c:x val="0.16213292672034824"/>
          <c:y val="9.7101819635286635E-2"/>
          <c:w val="0.13811570428696412"/>
          <c:h val="0.15625109361329836"/>
        </c:manualLayout>
      </c:layout>
      <c:overlay val="0"/>
      <c:spPr>
        <a:solidFill>
          <a:schemeClr val="bg1"/>
        </a:solidFill>
        <a:ln>
          <a:solidFill>
            <a:schemeClr val="tx1"/>
          </a:solid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b="1">
          <a:solidFill>
            <a:schemeClr val="tx1"/>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US"/>
              <a:t>Current Hatchery Production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20493086522633774"/>
          <c:y val="0.21715124235515357"/>
          <c:w val="0.54847129219496904"/>
          <c:h val="0.63151058971561458"/>
        </c:manualLayout>
      </c:layout>
      <c:pieChart>
        <c:varyColors val="1"/>
        <c:ser>
          <c:idx val="0"/>
          <c:order val="0"/>
          <c:spPr>
            <a:ln w="6350">
              <a:solidFill>
                <a:schemeClr val="tx1"/>
              </a:solidFill>
            </a:ln>
          </c:spPr>
          <c:dPt>
            <c:idx val="0"/>
            <c:bubble3D val="0"/>
            <c:spPr>
              <a:solidFill>
                <a:schemeClr val="accent1"/>
              </a:solidFill>
              <a:ln w="6350">
                <a:solidFill>
                  <a:schemeClr val="tx1"/>
                </a:solidFill>
              </a:ln>
              <a:effectLst/>
            </c:spPr>
            <c:extLst>
              <c:ext xmlns:c16="http://schemas.microsoft.com/office/drawing/2014/chart" uri="{C3380CC4-5D6E-409C-BE32-E72D297353CC}">
                <c16:uniqueId val="{00000001-7A25-4245-A63C-ECE70BD2CF5F}"/>
              </c:ext>
            </c:extLst>
          </c:dPt>
          <c:dPt>
            <c:idx val="1"/>
            <c:bubble3D val="0"/>
            <c:spPr>
              <a:solidFill>
                <a:schemeClr val="accent2"/>
              </a:solidFill>
              <a:ln w="6350">
                <a:solidFill>
                  <a:schemeClr val="tx1"/>
                </a:solidFill>
              </a:ln>
              <a:effectLst/>
            </c:spPr>
            <c:extLst>
              <c:ext xmlns:c16="http://schemas.microsoft.com/office/drawing/2014/chart" uri="{C3380CC4-5D6E-409C-BE32-E72D297353CC}">
                <c16:uniqueId val="{00000003-7A25-4245-A63C-ECE70BD2CF5F}"/>
              </c:ext>
            </c:extLst>
          </c:dPt>
          <c:dPt>
            <c:idx val="2"/>
            <c:bubble3D val="0"/>
            <c:spPr>
              <a:solidFill>
                <a:schemeClr val="accent3"/>
              </a:solidFill>
              <a:ln w="6350">
                <a:solidFill>
                  <a:schemeClr val="tx1"/>
                </a:solidFill>
              </a:ln>
              <a:effectLst/>
            </c:spPr>
            <c:extLst>
              <c:ext xmlns:c16="http://schemas.microsoft.com/office/drawing/2014/chart" uri="{C3380CC4-5D6E-409C-BE32-E72D297353CC}">
                <c16:uniqueId val="{00000005-7A25-4245-A63C-ECE70BD2CF5F}"/>
              </c:ext>
            </c:extLst>
          </c:dPt>
          <c:dLbls>
            <c:dLbl>
              <c:idx val="0"/>
              <c:layout>
                <c:manualLayout>
                  <c:x val="1.5151519670579577E-2"/>
                  <c:y val="0.17881617305916439"/>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25-4245-A63C-ECE70BD2CF5F}"/>
                </c:ext>
              </c:extLst>
            </c:dLbl>
            <c:dLbl>
              <c:idx val="1"/>
              <c:layout>
                <c:manualLayout>
                  <c:x val="-1.1363639752934787E-2"/>
                  <c:y val="0.1133956219399580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25-4245-A63C-ECE70BD2CF5F}"/>
                </c:ext>
              </c:extLst>
            </c:dLbl>
            <c:dLbl>
              <c:idx val="2"/>
              <c:layout>
                <c:manualLayout>
                  <c:x val="-4.6082541780762876E-2"/>
                  <c:y val="6.978192119382029E-2"/>
                </c:manualLayout>
              </c:layout>
              <c:dLblPos val="bestFit"/>
              <c:showLegendKey val="0"/>
              <c:showVal val="1"/>
              <c:showCatName val="1"/>
              <c:showSerName val="0"/>
              <c:showPercent val="0"/>
              <c:showBubbleSize val="0"/>
              <c:extLst>
                <c:ext xmlns:c15="http://schemas.microsoft.com/office/drawing/2012/chart" uri="{CE6537A1-D6FC-4f65-9D91-7224C49458BB}">
                  <c15:layout>
                    <c:manualLayout>
                      <c:w val="0.2745455364309044"/>
                      <c:h val="0.22600619726648555"/>
                    </c:manualLayout>
                  </c15:layout>
                </c:ext>
                <c:ext xmlns:c16="http://schemas.microsoft.com/office/drawing/2014/chart" uri="{C3380CC4-5D6E-409C-BE32-E72D297353CC}">
                  <c16:uniqueId val="{00000005-7A25-4245-A63C-ECE70BD2CF5F}"/>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[3]Summary!$B$55:$B$57</c:f>
              <c:strCache>
                <c:ptCount val="3"/>
                <c:pt idx="0">
                  <c:v>Lyons Ferry Hatchery</c:v>
                </c:pt>
                <c:pt idx="1">
                  <c:v>Nez Perce Tribal Hatchery</c:v>
                </c:pt>
                <c:pt idx="2">
                  <c:v>Idaho Power Program</c:v>
                </c:pt>
              </c:strCache>
            </c:strRef>
          </c:cat>
          <c:val>
            <c:numRef>
              <c:f>[3]Summary!$E$55:$E$57</c:f>
              <c:numCache>
                <c:formatCode>General</c:formatCode>
                <c:ptCount val="3"/>
                <c:pt idx="0">
                  <c:v>3000000</c:v>
                </c:pt>
                <c:pt idx="1">
                  <c:v>1500000</c:v>
                </c:pt>
                <c:pt idx="2">
                  <c:v>1000000</c:v>
                </c:pt>
              </c:numCache>
            </c:numRef>
          </c:val>
          <c:extLst>
            <c:ext xmlns:c16="http://schemas.microsoft.com/office/drawing/2014/chart" uri="{C3380CC4-5D6E-409C-BE32-E72D297353CC}">
              <c16:uniqueId val="{00000006-7A25-4245-A63C-ECE70BD2CF5F}"/>
            </c:ext>
          </c:extLst>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103937007874019"/>
          <c:y val="5.0925925925925923E-2"/>
          <c:w val="0.78033158355205601"/>
          <c:h val="0.79685914260717405"/>
        </c:manualLayout>
      </c:layout>
      <c:barChart>
        <c:barDir val="col"/>
        <c:grouping val="stacked"/>
        <c:varyColors val="0"/>
        <c:ser>
          <c:idx val="0"/>
          <c:order val="0"/>
          <c:tx>
            <c:v>Wild</c:v>
          </c:tx>
          <c:spPr>
            <a:solidFill>
              <a:schemeClr val="accent1"/>
            </a:solidFill>
            <a:ln>
              <a:solidFill>
                <a:schemeClr val="tx1"/>
              </a:solidFill>
            </a:ln>
            <a:effectLst/>
          </c:spPr>
          <c:invertIfNegative val="0"/>
          <c:cat>
            <c:numRef>
              <c:f>[3]Runs!$B$16:$B$46</c:f>
              <c:numCache>
                <c:formatCode>General</c:formatCode>
                <c:ptCount val="31"/>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numCache>
            </c:numRef>
          </c:cat>
          <c:val>
            <c:numRef>
              <c:f>[3]Runs!$X$16:$X$46</c:f>
              <c:numCache>
                <c:formatCode>General</c:formatCode>
                <c:ptCount val="31"/>
                <c:pt idx="0">
                  <c:v>448.98999999999995</c:v>
                </c:pt>
                <c:pt idx="1">
                  <c:v>252.56000000000003</c:v>
                </c:pt>
                <c:pt idx="2">
                  <c:v>365.4</c:v>
                </c:pt>
                <c:pt idx="3">
                  <c:v>297.88</c:v>
                </c:pt>
                <c:pt idx="4">
                  <c:v>79.25</c:v>
                </c:pt>
                <c:pt idx="5">
                  <c:v>319.76000000000005</c:v>
                </c:pt>
                <c:pt idx="6">
                  <c:v>547.79999999999995</c:v>
                </c:pt>
                <c:pt idx="7">
                  <c:v>740.23</c:v>
                </c:pt>
                <c:pt idx="8">
                  <c:v>408.47999999999996</c:v>
                </c:pt>
                <c:pt idx="9">
                  <c:v>351.69</c:v>
                </c:pt>
                <c:pt idx="10">
                  <c:v>638.29</c:v>
                </c:pt>
                <c:pt idx="11">
                  <c:v>793.6</c:v>
                </c:pt>
                <c:pt idx="12">
                  <c:v>302.28000000000003</c:v>
                </c:pt>
                <c:pt idx="13">
                  <c:v>897.5</c:v>
                </c:pt>
                <c:pt idx="14">
                  <c:v>1151.1000000000001</c:v>
                </c:pt>
                <c:pt idx="15">
                  <c:v>5154.3</c:v>
                </c:pt>
                <c:pt idx="16">
                  <c:v>2149.81</c:v>
                </c:pt>
                <c:pt idx="17">
                  <c:v>3480.1200000000003</c:v>
                </c:pt>
                <c:pt idx="18">
                  <c:v>6087.9000000000005</c:v>
                </c:pt>
                <c:pt idx="19">
                  <c:v>4565.04</c:v>
                </c:pt>
                <c:pt idx="20">
                  <c:v>3955.85</c:v>
                </c:pt>
                <c:pt idx="21">
                  <c:v>2840.36</c:v>
                </c:pt>
                <c:pt idx="22">
                  <c:v>2981.25</c:v>
                </c:pt>
                <c:pt idx="23">
                  <c:v>4343.8499999999995</c:v>
                </c:pt>
                <c:pt idx="24">
                  <c:v>7555.16</c:v>
                </c:pt>
                <c:pt idx="25">
                  <c:v>8017.2000000000007</c:v>
                </c:pt>
                <c:pt idx="26">
                  <c:v>11234.31</c:v>
                </c:pt>
                <c:pt idx="27">
                  <c:v>20495.600000000002</c:v>
                </c:pt>
                <c:pt idx="28">
                  <c:v>13247.25</c:v>
                </c:pt>
                <c:pt idx="29">
                  <c:v>16212</c:v>
                </c:pt>
                <c:pt idx="30">
                  <c:v>9741</c:v>
                </c:pt>
              </c:numCache>
            </c:numRef>
          </c:val>
          <c:extLst>
            <c:ext xmlns:c16="http://schemas.microsoft.com/office/drawing/2014/chart" uri="{C3380CC4-5D6E-409C-BE32-E72D297353CC}">
              <c16:uniqueId val="{00000000-7EAD-4429-9479-48D45668B380}"/>
            </c:ext>
          </c:extLst>
        </c:ser>
        <c:ser>
          <c:idx val="1"/>
          <c:order val="1"/>
          <c:tx>
            <c:v>Hatchery</c:v>
          </c:tx>
          <c:spPr>
            <a:solidFill>
              <a:schemeClr val="accent2"/>
            </a:solidFill>
            <a:ln>
              <a:solidFill>
                <a:schemeClr val="tx1"/>
              </a:solidFill>
            </a:ln>
            <a:effectLst/>
          </c:spPr>
          <c:invertIfNegative val="0"/>
          <c:cat>
            <c:numRef>
              <c:f>[3]Runs!$B$16:$B$46</c:f>
              <c:numCache>
                <c:formatCode>General</c:formatCode>
                <c:ptCount val="31"/>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numCache>
            </c:numRef>
          </c:cat>
          <c:val>
            <c:numRef>
              <c:f>[3]Runs!$Y$16:$Y$46</c:f>
              <c:numCache>
                <c:formatCode>General</c:formatCode>
                <c:ptCount val="31"/>
                <c:pt idx="0">
                  <c:v>312.01000000000005</c:v>
                </c:pt>
                <c:pt idx="1">
                  <c:v>649.43999999999994</c:v>
                </c:pt>
                <c:pt idx="2">
                  <c:v>243.60000000000002</c:v>
                </c:pt>
                <c:pt idx="3">
                  <c:v>379.12</c:v>
                </c:pt>
                <c:pt idx="4">
                  <c:v>237.75</c:v>
                </c:pt>
                <c:pt idx="5">
                  <c:v>251.23999999999995</c:v>
                </c:pt>
                <c:pt idx="6">
                  <c:v>112.20000000000005</c:v>
                </c:pt>
                <c:pt idx="7">
                  <c:v>196.76999999999998</c:v>
                </c:pt>
                <c:pt idx="8">
                  <c:v>183.52000000000004</c:v>
                </c:pt>
                <c:pt idx="9">
                  <c:v>265.31</c:v>
                </c:pt>
                <c:pt idx="10">
                  <c:v>260.71000000000004</c:v>
                </c:pt>
                <c:pt idx="11">
                  <c:v>198.39999999999998</c:v>
                </c:pt>
                <c:pt idx="12">
                  <c:v>613.72</c:v>
                </c:pt>
                <c:pt idx="13">
                  <c:v>897.5</c:v>
                </c:pt>
                <c:pt idx="14">
                  <c:v>1406.8999999999999</c:v>
                </c:pt>
                <c:pt idx="15">
                  <c:v>4390.7</c:v>
                </c:pt>
                <c:pt idx="16">
                  <c:v>7197.1900000000005</c:v>
                </c:pt>
                <c:pt idx="17">
                  <c:v>8948.8799999999992</c:v>
                </c:pt>
                <c:pt idx="18">
                  <c:v>9522.0999999999985</c:v>
                </c:pt>
                <c:pt idx="19">
                  <c:v>5358.96</c:v>
                </c:pt>
                <c:pt idx="20">
                  <c:v>2529.15</c:v>
                </c:pt>
                <c:pt idx="21">
                  <c:v>5513.6399999999994</c:v>
                </c:pt>
                <c:pt idx="22">
                  <c:v>8943.75</c:v>
                </c:pt>
                <c:pt idx="23">
                  <c:v>16341.150000000001</c:v>
                </c:pt>
                <c:pt idx="24">
                  <c:v>32208.84</c:v>
                </c:pt>
                <c:pt idx="25">
                  <c:v>15562.8</c:v>
                </c:pt>
                <c:pt idx="26">
                  <c:v>19128.690000000002</c:v>
                </c:pt>
                <c:pt idx="27">
                  <c:v>30743.399999999998</c:v>
                </c:pt>
                <c:pt idx="28">
                  <c:v>39741.75</c:v>
                </c:pt>
                <c:pt idx="29">
                  <c:v>42151</c:v>
                </c:pt>
              </c:numCache>
            </c:numRef>
          </c:val>
          <c:extLst>
            <c:ext xmlns:c16="http://schemas.microsoft.com/office/drawing/2014/chart" uri="{C3380CC4-5D6E-409C-BE32-E72D297353CC}">
              <c16:uniqueId val="{00000001-7EAD-4429-9479-48D45668B380}"/>
            </c:ext>
          </c:extLst>
        </c:ser>
        <c:dLbls>
          <c:showLegendKey val="0"/>
          <c:showVal val="0"/>
          <c:showCatName val="0"/>
          <c:showSerName val="0"/>
          <c:showPercent val="0"/>
          <c:showBubbleSize val="0"/>
        </c:dLbls>
        <c:gapWidth val="0"/>
        <c:overlap val="100"/>
        <c:axId val="343146096"/>
        <c:axId val="343146488"/>
      </c:barChart>
      <c:catAx>
        <c:axId val="343146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343146488"/>
        <c:crosses val="autoZero"/>
        <c:auto val="1"/>
        <c:lblAlgn val="ctr"/>
        <c:lblOffset val="100"/>
        <c:noMultiLvlLbl val="0"/>
      </c:catAx>
      <c:valAx>
        <c:axId val="343146488"/>
        <c:scaling>
          <c:orientation val="minMax"/>
        </c:scaling>
        <c:delete val="0"/>
        <c:axPos val="l"/>
        <c:majorGridlines>
          <c:spPr>
            <a:ln w="9525" cap="flat" cmpd="sng" algn="ctr">
              <a:solidFill>
                <a:schemeClr val="tx1">
                  <a:lumMod val="15000"/>
                  <a:lumOff val="85000"/>
                </a:schemeClr>
              </a:solidFill>
              <a:prstDash val="dash"/>
              <a:round/>
            </a:ln>
            <a:effectLst/>
          </c:spPr>
        </c:majorGridlines>
        <c:title>
          <c:tx>
            <c:rich>
              <a:bodyPr rot="-5400000" spcFirstLastPara="1" vertOverflow="ellipsis" vert="horz" wrap="square" anchor="ctr" anchorCtr="1"/>
              <a:lstStyle/>
              <a:p>
                <a:pPr>
                  <a:defRPr sz="1200" b="1" i="0" u="none" strike="noStrike" kern="1200" baseline="0">
                    <a:solidFill>
                      <a:schemeClr val="tx1"/>
                    </a:solidFill>
                    <a:latin typeface="+mn-lt"/>
                    <a:ea typeface="+mn-ea"/>
                    <a:cs typeface="+mn-cs"/>
                  </a:defRPr>
                </a:pPr>
                <a:r>
                  <a:rPr lang="en-US" sz="1200"/>
                  <a:t>Spawning escapement</a:t>
                </a:r>
              </a:p>
            </c:rich>
          </c:tx>
          <c:layout>
            <c:manualLayout>
              <c:xMode val="edge"/>
              <c:yMode val="edge"/>
              <c:x val="1.9444444444444445E-2"/>
              <c:y val="0.22332531350247886"/>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343146096"/>
        <c:crosses val="autoZero"/>
        <c:crossBetween val="between"/>
      </c:valAx>
      <c:spPr>
        <a:noFill/>
        <a:ln>
          <a:solidFill>
            <a:schemeClr val="tx1"/>
          </a:solidFill>
        </a:ln>
        <a:effectLst/>
      </c:spPr>
    </c:plotArea>
    <c:legend>
      <c:legendPos val="r"/>
      <c:layout>
        <c:manualLayout>
          <c:xMode val="edge"/>
          <c:yMode val="edge"/>
          <c:x val="0.22299540682414706"/>
          <c:y val="0.12557815689705457"/>
          <c:w val="0.13811570428696412"/>
          <c:h val="0.15625109361329836"/>
        </c:manualLayout>
      </c:layout>
      <c:overlay val="0"/>
      <c:spPr>
        <a:solidFill>
          <a:schemeClr val="bg1"/>
        </a:solidFill>
        <a:ln>
          <a:solidFill>
            <a:schemeClr val="tx1"/>
          </a:solid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chemeClr val="tx1"/>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103937007874019"/>
          <c:y val="5.0925925925925923E-2"/>
          <c:w val="0.78033158355205601"/>
          <c:h val="0.79685914260717405"/>
        </c:manualLayout>
      </c:layout>
      <c:barChart>
        <c:barDir val="col"/>
        <c:grouping val="stacked"/>
        <c:varyColors val="0"/>
        <c:ser>
          <c:idx val="0"/>
          <c:order val="0"/>
          <c:tx>
            <c:v>Wild</c:v>
          </c:tx>
          <c:spPr>
            <a:solidFill>
              <a:schemeClr val="accent1"/>
            </a:solidFill>
            <a:ln>
              <a:solidFill>
                <a:schemeClr val="tx1"/>
              </a:solidFill>
            </a:ln>
            <a:effectLst/>
          </c:spPr>
          <c:invertIfNegative val="0"/>
          <c:cat>
            <c:numRef>
              <c:f>[3]Runs!$T$57:$T$80</c:f>
              <c:numCache>
                <c:formatCode>General</c:formatCode>
                <c:ptCount val="24"/>
                <c:pt idx="0">
                  <c:v>1994</c:v>
                </c:pt>
                <c:pt idx="1">
                  <c:v>1995</c:v>
                </c:pt>
                <c:pt idx="2">
                  <c:v>1996</c:v>
                </c:pt>
                <c:pt idx="3">
                  <c:v>1997</c:v>
                </c:pt>
                <c:pt idx="4">
                  <c:v>1998</c:v>
                </c:pt>
                <c:pt idx="5">
                  <c:v>1999</c:v>
                </c:pt>
                <c:pt idx="6">
                  <c:v>2000</c:v>
                </c:pt>
                <c:pt idx="7">
                  <c:v>2001</c:v>
                </c:pt>
                <c:pt idx="8">
                  <c:v>2002</c:v>
                </c:pt>
                <c:pt idx="9">
                  <c:v>2003</c:v>
                </c:pt>
                <c:pt idx="10">
                  <c:v>2004</c:v>
                </c:pt>
                <c:pt idx="11">
                  <c:v>2005</c:v>
                </c:pt>
                <c:pt idx="12">
                  <c:v>2006</c:v>
                </c:pt>
                <c:pt idx="13">
                  <c:v>2007</c:v>
                </c:pt>
                <c:pt idx="14">
                  <c:v>2008</c:v>
                </c:pt>
                <c:pt idx="15">
                  <c:v>2009</c:v>
                </c:pt>
                <c:pt idx="16">
                  <c:v>2010</c:v>
                </c:pt>
                <c:pt idx="17">
                  <c:v>2011</c:v>
                </c:pt>
                <c:pt idx="18">
                  <c:v>2012</c:v>
                </c:pt>
                <c:pt idx="19">
                  <c:v>2013</c:v>
                </c:pt>
                <c:pt idx="20">
                  <c:v>2014</c:v>
                </c:pt>
                <c:pt idx="21">
                  <c:v>2015</c:v>
                </c:pt>
                <c:pt idx="22">
                  <c:v>2016</c:v>
                </c:pt>
                <c:pt idx="23">
                  <c:v>2017</c:v>
                </c:pt>
              </c:numCache>
            </c:numRef>
          </c:cat>
          <c:val>
            <c:numRef>
              <c:f>[3]Runs!$AS$57:$AS$80</c:f>
              <c:numCache>
                <c:formatCode>General</c:formatCode>
                <c:ptCount val="24"/>
                <c:pt idx="0">
                  <c:v>406</c:v>
                </c:pt>
                <c:pt idx="1">
                  <c:v>350</c:v>
                </c:pt>
                <c:pt idx="2">
                  <c:v>639</c:v>
                </c:pt>
                <c:pt idx="3">
                  <c:v>1013</c:v>
                </c:pt>
                <c:pt idx="4">
                  <c:v>306</c:v>
                </c:pt>
                <c:pt idx="5">
                  <c:v>905</c:v>
                </c:pt>
                <c:pt idx="6">
                  <c:v>1148</c:v>
                </c:pt>
                <c:pt idx="7">
                  <c:v>5163</c:v>
                </c:pt>
                <c:pt idx="8">
                  <c:v>2116</c:v>
                </c:pt>
                <c:pt idx="9">
                  <c:v>5300.9034130516948</c:v>
                </c:pt>
                <c:pt idx="10">
                  <c:v>5840.5896988085215</c:v>
                </c:pt>
                <c:pt idx="11">
                  <c:v>4524.0062060205419</c:v>
                </c:pt>
                <c:pt idx="12">
                  <c:v>3942.3251211478337</c:v>
                </c:pt>
                <c:pt idx="13">
                  <c:v>2796.4080450646643</c:v>
                </c:pt>
                <c:pt idx="14">
                  <c:v>2931.7358040435893</c:v>
                </c:pt>
                <c:pt idx="15">
                  <c:v>4238.970114283924</c:v>
                </c:pt>
                <c:pt idx="16">
                  <c:v>7288.4933591764575</c:v>
                </c:pt>
                <c:pt idx="17">
                  <c:v>7942.8295351540683</c:v>
                </c:pt>
                <c:pt idx="18">
                  <c:v>11201.732801110395</c:v>
                </c:pt>
                <c:pt idx="19">
                  <c:v>19893.74405128225</c:v>
                </c:pt>
                <c:pt idx="20">
                  <c:v>13055.967677098939</c:v>
                </c:pt>
                <c:pt idx="21">
                  <c:v>14895.884339076521</c:v>
                </c:pt>
                <c:pt idx="22">
                  <c:v>8650.8863534717275</c:v>
                </c:pt>
                <c:pt idx="23">
                  <c:v>6158</c:v>
                </c:pt>
              </c:numCache>
            </c:numRef>
          </c:val>
          <c:extLst>
            <c:ext xmlns:c16="http://schemas.microsoft.com/office/drawing/2014/chart" uri="{C3380CC4-5D6E-409C-BE32-E72D297353CC}">
              <c16:uniqueId val="{00000000-4604-4F29-91DE-4393CCEABBFE}"/>
            </c:ext>
          </c:extLst>
        </c:ser>
        <c:ser>
          <c:idx val="1"/>
          <c:order val="1"/>
          <c:tx>
            <c:strRef>
              <c:f>[3]Runs!$Y$3</c:f>
              <c:strCache>
                <c:ptCount val="1"/>
                <c:pt idx="0">
                  <c:v>hatch</c:v>
                </c:pt>
              </c:strCache>
            </c:strRef>
          </c:tx>
          <c:spPr>
            <a:solidFill>
              <a:schemeClr val="accent2"/>
            </a:solidFill>
            <a:ln>
              <a:solidFill>
                <a:schemeClr val="tx1"/>
              </a:solidFill>
            </a:ln>
            <a:effectLst/>
          </c:spPr>
          <c:invertIfNegative val="0"/>
          <c:cat>
            <c:numRef>
              <c:f>[3]Runs!$T$57:$T$80</c:f>
              <c:numCache>
                <c:formatCode>General</c:formatCode>
                <c:ptCount val="24"/>
                <c:pt idx="0">
                  <c:v>1994</c:v>
                </c:pt>
                <c:pt idx="1">
                  <c:v>1995</c:v>
                </c:pt>
                <c:pt idx="2">
                  <c:v>1996</c:v>
                </c:pt>
                <c:pt idx="3">
                  <c:v>1997</c:v>
                </c:pt>
                <c:pt idx="4">
                  <c:v>1998</c:v>
                </c:pt>
                <c:pt idx="5">
                  <c:v>1999</c:v>
                </c:pt>
                <c:pt idx="6">
                  <c:v>2000</c:v>
                </c:pt>
                <c:pt idx="7">
                  <c:v>2001</c:v>
                </c:pt>
                <c:pt idx="8">
                  <c:v>2002</c:v>
                </c:pt>
                <c:pt idx="9">
                  <c:v>2003</c:v>
                </c:pt>
                <c:pt idx="10">
                  <c:v>2004</c:v>
                </c:pt>
                <c:pt idx="11">
                  <c:v>2005</c:v>
                </c:pt>
                <c:pt idx="12">
                  <c:v>2006</c:v>
                </c:pt>
                <c:pt idx="13">
                  <c:v>2007</c:v>
                </c:pt>
                <c:pt idx="14">
                  <c:v>2008</c:v>
                </c:pt>
                <c:pt idx="15">
                  <c:v>2009</c:v>
                </c:pt>
                <c:pt idx="16">
                  <c:v>2010</c:v>
                </c:pt>
                <c:pt idx="17">
                  <c:v>2011</c:v>
                </c:pt>
                <c:pt idx="18">
                  <c:v>2012</c:v>
                </c:pt>
                <c:pt idx="19">
                  <c:v>2013</c:v>
                </c:pt>
                <c:pt idx="20">
                  <c:v>2014</c:v>
                </c:pt>
                <c:pt idx="21">
                  <c:v>2015</c:v>
                </c:pt>
                <c:pt idx="22">
                  <c:v>2016</c:v>
                </c:pt>
                <c:pt idx="23">
                  <c:v>2017</c:v>
                </c:pt>
              </c:numCache>
            </c:numRef>
          </c:cat>
          <c:val>
            <c:numRef>
              <c:f>[3]Runs!$AQ$57:$AQ$80</c:f>
              <c:numCache>
                <c:formatCode>General</c:formatCode>
                <c:ptCount val="24"/>
                <c:pt idx="0">
                  <c:v>205</c:v>
                </c:pt>
                <c:pt idx="1">
                  <c:v>322</c:v>
                </c:pt>
                <c:pt idx="2">
                  <c:v>280</c:v>
                </c:pt>
                <c:pt idx="3">
                  <c:v>21</c:v>
                </c:pt>
                <c:pt idx="4">
                  <c:v>729</c:v>
                </c:pt>
                <c:pt idx="5">
                  <c:v>956</c:v>
                </c:pt>
                <c:pt idx="6">
                  <c:v>1516</c:v>
                </c:pt>
                <c:pt idx="7">
                  <c:v>5344</c:v>
                </c:pt>
                <c:pt idx="8">
                  <c:v>7999</c:v>
                </c:pt>
                <c:pt idx="9">
                  <c:v>6233.7792203730005</c:v>
                </c:pt>
                <c:pt idx="10">
                  <c:v>9203.0685963245087</c:v>
                </c:pt>
                <c:pt idx="11">
                  <c:v>5206.5347906682518</c:v>
                </c:pt>
                <c:pt idx="12">
                  <c:v>2401.8346250129703</c:v>
                </c:pt>
                <c:pt idx="13">
                  <c:v>5375.4684777608018</c:v>
                </c:pt>
                <c:pt idx="14">
                  <c:v>8531.2989305385217</c:v>
                </c:pt>
                <c:pt idx="15">
                  <c:v>16057.084243087649</c:v>
                </c:pt>
                <c:pt idx="16">
                  <c:v>30895.223920751556</c:v>
                </c:pt>
                <c:pt idx="17">
                  <c:v>14590.935907575898</c:v>
                </c:pt>
                <c:pt idx="18">
                  <c:v>17829.093751821463</c:v>
                </c:pt>
                <c:pt idx="19">
                  <c:v>27179.480805150099</c:v>
                </c:pt>
                <c:pt idx="20">
                  <c:v>37971.933064503646</c:v>
                </c:pt>
                <c:pt idx="21">
                  <c:v>35176.078780233991</c:v>
                </c:pt>
                <c:pt idx="22">
                  <c:v>22262.568622407394</c:v>
                </c:pt>
                <c:pt idx="23">
                  <c:v>11155</c:v>
                </c:pt>
              </c:numCache>
            </c:numRef>
          </c:val>
          <c:extLst>
            <c:ext xmlns:c16="http://schemas.microsoft.com/office/drawing/2014/chart" uri="{C3380CC4-5D6E-409C-BE32-E72D297353CC}">
              <c16:uniqueId val="{00000001-4604-4F29-91DE-4393CCEABBFE}"/>
            </c:ext>
          </c:extLst>
        </c:ser>
        <c:dLbls>
          <c:showLegendKey val="0"/>
          <c:showVal val="0"/>
          <c:showCatName val="0"/>
          <c:showSerName val="0"/>
          <c:showPercent val="0"/>
          <c:showBubbleSize val="0"/>
        </c:dLbls>
        <c:gapWidth val="0"/>
        <c:overlap val="100"/>
        <c:axId val="343148840"/>
        <c:axId val="343149232"/>
      </c:barChart>
      <c:catAx>
        <c:axId val="3431488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343149232"/>
        <c:crosses val="autoZero"/>
        <c:auto val="1"/>
        <c:lblAlgn val="ctr"/>
        <c:lblOffset val="100"/>
        <c:noMultiLvlLbl val="0"/>
      </c:catAx>
      <c:valAx>
        <c:axId val="343149232"/>
        <c:scaling>
          <c:orientation val="minMax"/>
        </c:scaling>
        <c:delete val="0"/>
        <c:axPos val="l"/>
        <c:majorGridlines>
          <c:spPr>
            <a:ln w="9525" cap="flat" cmpd="sng" algn="ctr">
              <a:solidFill>
                <a:schemeClr val="tx1">
                  <a:lumMod val="15000"/>
                  <a:lumOff val="85000"/>
                </a:schemeClr>
              </a:solidFill>
              <a:prstDash val="dash"/>
              <a:round/>
            </a:ln>
            <a:effectLst/>
          </c:spPr>
        </c:majorGridlines>
        <c:title>
          <c:tx>
            <c:rich>
              <a:bodyPr rot="-5400000" spcFirstLastPara="1" vertOverflow="ellipsis" vert="horz" wrap="square" anchor="ctr" anchorCtr="1"/>
              <a:lstStyle/>
              <a:p>
                <a:pPr>
                  <a:defRPr sz="1200" b="1" i="0" u="none" strike="noStrike" kern="1200" baseline="0">
                    <a:solidFill>
                      <a:schemeClr val="tx1"/>
                    </a:solidFill>
                    <a:latin typeface="+mn-lt"/>
                    <a:ea typeface="+mn-ea"/>
                    <a:cs typeface="+mn-cs"/>
                  </a:defRPr>
                </a:pPr>
                <a:r>
                  <a:rPr lang="en-US" sz="1200"/>
                  <a:t>Spawning escapement</a:t>
                </a:r>
              </a:p>
            </c:rich>
          </c:tx>
          <c:layout>
            <c:manualLayout>
              <c:xMode val="edge"/>
              <c:yMode val="edge"/>
              <c:x val="1.9444444444444445E-2"/>
              <c:y val="0.22332531350247886"/>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343148840"/>
        <c:crosses val="autoZero"/>
        <c:crossBetween val="between"/>
      </c:valAx>
      <c:spPr>
        <a:noFill/>
        <a:ln>
          <a:solidFill>
            <a:schemeClr val="tx1"/>
          </a:solidFill>
        </a:ln>
        <a:effectLst/>
      </c:spPr>
    </c:plotArea>
    <c:legend>
      <c:legendPos val="r"/>
      <c:layout>
        <c:manualLayout>
          <c:xMode val="edge"/>
          <c:yMode val="edge"/>
          <c:x val="0.22299540682414706"/>
          <c:y val="0.12557815689705457"/>
          <c:w val="0.13811570428696412"/>
          <c:h val="0.15625109361329836"/>
        </c:manualLayout>
      </c:layout>
      <c:overlay val="0"/>
      <c:spPr>
        <a:solidFill>
          <a:schemeClr val="bg1"/>
        </a:solidFill>
        <a:ln>
          <a:solidFill>
            <a:schemeClr val="tx1"/>
          </a:solid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chemeClr val="tx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75632189227577"/>
          <c:y val="5.0926099833851046E-2"/>
          <c:w val="0.87780267219708319"/>
          <c:h val="0.79534963519468327"/>
        </c:manualLayout>
      </c:layout>
      <c:barChart>
        <c:barDir val="col"/>
        <c:grouping val="stacked"/>
        <c:varyColors val="0"/>
        <c:ser>
          <c:idx val="0"/>
          <c:order val="0"/>
          <c:tx>
            <c:v>Natural return to Sawtooth Valley</c:v>
          </c:tx>
          <c:spPr>
            <a:solidFill>
              <a:schemeClr val="accent6">
                <a:lumMod val="75000"/>
              </a:schemeClr>
            </a:solidFill>
            <a:ln>
              <a:solidFill>
                <a:schemeClr val="tx1"/>
              </a:solidFill>
            </a:ln>
            <a:effectLst/>
          </c:spPr>
          <c:invertIfNegative val="0"/>
          <c:cat>
            <c:numRef>
              <c:f>[4]Run!$B$5:$B$41</c:f>
              <c:numCache>
                <c:formatCode>General</c:formatCode>
                <c:ptCount val="37"/>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numCache>
            </c:numRef>
          </c:cat>
          <c:val>
            <c:numRef>
              <c:f>[4]Run!$O$5:$O$41</c:f>
              <c:numCache>
                <c:formatCode>General</c:formatCode>
                <c:ptCount val="37"/>
                <c:pt idx="19">
                  <c:v>0</c:v>
                </c:pt>
                <c:pt idx="20">
                  <c:v>10</c:v>
                </c:pt>
                <c:pt idx="21">
                  <c:v>4</c:v>
                </c:pt>
                <c:pt idx="22">
                  <c:v>6</c:v>
                </c:pt>
                <c:pt idx="23">
                  <c:v>0</c:v>
                </c:pt>
                <c:pt idx="24">
                  <c:v>4</c:v>
                </c:pt>
                <c:pt idx="25">
                  <c:v>2</c:v>
                </c:pt>
                <c:pt idx="26">
                  <c:v>1</c:v>
                </c:pt>
                <c:pt idx="27">
                  <c:v>3</c:v>
                </c:pt>
                <c:pt idx="28">
                  <c:v>140</c:v>
                </c:pt>
                <c:pt idx="29">
                  <c:v>86</c:v>
                </c:pt>
                <c:pt idx="30">
                  <c:v>178</c:v>
                </c:pt>
                <c:pt idx="31">
                  <c:v>145</c:v>
                </c:pt>
                <c:pt idx="32">
                  <c:v>52</c:v>
                </c:pt>
                <c:pt idx="33">
                  <c:v>79</c:v>
                </c:pt>
                <c:pt idx="34">
                  <c:v>453</c:v>
                </c:pt>
                <c:pt idx="35">
                  <c:v>26.872813422145867</c:v>
                </c:pt>
                <c:pt idx="36">
                  <c:v>175.70685699095372</c:v>
                </c:pt>
              </c:numCache>
            </c:numRef>
          </c:val>
          <c:extLst>
            <c:ext xmlns:c16="http://schemas.microsoft.com/office/drawing/2014/chart" uri="{C3380CC4-5D6E-409C-BE32-E72D297353CC}">
              <c16:uniqueId val="{00000000-B323-4D68-832D-7698D0FEB91F}"/>
            </c:ext>
          </c:extLst>
        </c:ser>
        <c:ser>
          <c:idx val="1"/>
          <c:order val="1"/>
          <c:tx>
            <c:v>Hatchery return to Sawtooth Valley</c:v>
          </c:tx>
          <c:spPr>
            <a:solidFill>
              <a:schemeClr val="accent5">
                <a:lumMod val="40000"/>
                <a:lumOff val="60000"/>
              </a:schemeClr>
            </a:solidFill>
            <a:ln>
              <a:solidFill>
                <a:schemeClr val="tx1"/>
              </a:solidFill>
            </a:ln>
            <a:effectLst/>
          </c:spPr>
          <c:invertIfNegative val="0"/>
          <c:cat>
            <c:numRef>
              <c:f>[4]Run!$B$5:$B$41</c:f>
              <c:numCache>
                <c:formatCode>General</c:formatCode>
                <c:ptCount val="37"/>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numCache>
            </c:numRef>
          </c:cat>
          <c:val>
            <c:numRef>
              <c:f>[4]Run!$P$5:$P$41</c:f>
              <c:numCache>
                <c:formatCode>General</c:formatCode>
                <c:ptCount val="37"/>
                <c:pt idx="19">
                  <c:v>7</c:v>
                </c:pt>
                <c:pt idx="20">
                  <c:v>233</c:v>
                </c:pt>
                <c:pt idx="21">
                  <c:v>19</c:v>
                </c:pt>
                <c:pt idx="22">
                  <c:v>9</c:v>
                </c:pt>
                <c:pt idx="23">
                  <c:v>2</c:v>
                </c:pt>
                <c:pt idx="24">
                  <c:v>20</c:v>
                </c:pt>
                <c:pt idx="25">
                  <c:v>4</c:v>
                </c:pt>
                <c:pt idx="26">
                  <c:v>2</c:v>
                </c:pt>
                <c:pt idx="27">
                  <c:v>1</c:v>
                </c:pt>
                <c:pt idx="28">
                  <c:v>456</c:v>
                </c:pt>
                <c:pt idx="29">
                  <c:v>730</c:v>
                </c:pt>
                <c:pt idx="30">
                  <c:v>1144</c:v>
                </c:pt>
                <c:pt idx="31">
                  <c:v>954</c:v>
                </c:pt>
                <c:pt idx="32">
                  <c:v>190</c:v>
                </c:pt>
                <c:pt idx="33">
                  <c:v>191</c:v>
                </c:pt>
                <c:pt idx="34">
                  <c:v>1062</c:v>
                </c:pt>
                <c:pt idx="35">
                  <c:v>64.127186577854133</c:v>
                </c:pt>
                <c:pt idx="36">
                  <c:v>419.29314300904628</c:v>
                </c:pt>
              </c:numCache>
            </c:numRef>
          </c:val>
          <c:extLst>
            <c:ext xmlns:c16="http://schemas.microsoft.com/office/drawing/2014/chart" uri="{C3380CC4-5D6E-409C-BE32-E72D297353CC}">
              <c16:uniqueId val="{00000001-B323-4D68-832D-7698D0FEB91F}"/>
            </c:ext>
          </c:extLst>
        </c:ser>
        <c:ser>
          <c:idx val="2"/>
          <c:order val="2"/>
          <c:tx>
            <c:v>Lower Granite return</c:v>
          </c:tx>
          <c:spPr>
            <a:solidFill>
              <a:srgbClr val="800000"/>
            </a:solidFill>
            <a:ln>
              <a:solidFill>
                <a:schemeClr val="tx1">
                  <a:lumMod val="95000"/>
                  <a:lumOff val="5000"/>
                </a:schemeClr>
              </a:solidFill>
            </a:ln>
            <a:effectLst/>
          </c:spPr>
          <c:invertIfNegative val="0"/>
          <c:val>
            <c:numRef>
              <c:f>[4]Run!$T$5:$T$41</c:f>
              <c:numCache>
                <c:formatCode>General</c:formatCode>
                <c:ptCount val="37"/>
                <c:pt idx="0">
                  <c:v>96</c:v>
                </c:pt>
                <c:pt idx="1">
                  <c:v>218</c:v>
                </c:pt>
                <c:pt idx="2">
                  <c:v>211</c:v>
                </c:pt>
                <c:pt idx="3">
                  <c:v>216</c:v>
                </c:pt>
                <c:pt idx="4">
                  <c:v>105</c:v>
                </c:pt>
                <c:pt idx="5">
                  <c:v>35</c:v>
                </c:pt>
                <c:pt idx="6">
                  <c:v>20</c:v>
                </c:pt>
                <c:pt idx="7">
                  <c:v>29</c:v>
                </c:pt>
                <c:pt idx="8">
                  <c:v>23</c:v>
                </c:pt>
                <c:pt idx="9">
                  <c:v>4</c:v>
                </c:pt>
                <c:pt idx="10">
                  <c:v>1</c:v>
                </c:pt>
                <c:pt idx="11">
                  <c:v>9</c:v>
                </c:pt>
                <c:pt idx="12">
                  <c:v>2</c:v>
                </c:pt>
                <c:pt idx="13">
                  <c:v>17</c:v>
                </c:pt>
                <c:pt idx="14">
                  <c:v>3</c:v>
                </c:pt>
                <c:pt idx="15">
                  <c:v>5</c:v>
                </c:pt>
                <c:pt idx="16">
                  <c:v>3</c:v>
                </c:pt>
                <c:pt idx="17">
                  <c:v>17</c:v>
                </c:pt>
                <c:pt idx="18">
                  <c:v>3</c:v>
                </c:pt>
                <c:pt idx="19">
                  <c:v>11</c:v>
                </c:pt>
                <c:pt idx="20">
                  <c:v>80</c:v>
                </c:pt>
                <c:pt idx="21">
                  <c:v>19</c:v>
                </c:pt>
                <c:pt idx="22">
                  <c:v>50</c:v>
                </c:pt>
                <c:pt idx="23">
                  <c:v>23</c:v>
                </c:pt>
                <c:pt idx="24">
                  <c:v>86</c:v>
                </c:pt>
                <c:pt idx="25">
                  <c:v>13</c:v>
                </c:pt>
                <c:pt idx="26">
                  <c:v>13</c:v>
                </c:pt>
                <c:pt idx="27">
                  <c:v>51</c:v>
                </c:pt>
                <c:pt idx="28">
                  <c:v>260</c:v>
                </c:pt>
                <c:pt idx="29">
                  <c:v>572</c:v>
                </c:pt>
                <c:pt idx="30">
                  <c:v>1037</c:v>
                </c:pt>
                <c:pt idx="31">
                  <c:v>383</c:v>
                </c:pt>
                <c:pt idx="32">
                  <c:v>189</c:v>
                </c:pt>
                <c:pt idx="33">
                  <c:v>485</c:v>
                </c:pt>
                <c:pt idx="34">
                  <c:v>1208</c:v>
                </c:pt>
                <c:pt idx="35">
                  <c:v>349</c:v>
                </c:pt>
                <c:pt idx="36">
                  <c:v>220</c:v>
                </c:pt>
              </c:numCache>
            </c:numRef>
          </c:val>
          <c:extLst>
            <c:ext xmlns:c16="http://schemas.microsoft.com/office/drawing/2014/chart" uri="{C3380CC4-5D6E-409C-BE32-E72D297353CC}">
              <c16:uniqueId val="{00000002-B323-4D68-832D-7698D0FEB91F}"/>
            </c:ext>
          </c:extLst>
        </c:ser>
        <c:ser>
          <c:idx val="3"/>
          <c:order val="3"/>
          <c:tx>
            <c:v>Columbia River return</c:v>
          </c:tx>
          <c:spPr>
            <a:solidFill>
              <a:srgbClr val="FF0000"/>
            </a:solidFill>
            <a:ln>
              <a:solidFill>
                <a:schemeClr val="tx1"/>
              </a:solidFill>
            </a:ln>
            <a:effectLst/>
          </c:spPr>
          <c:invertIfNegative val="0"/>
          <c:val>
            <c:numRef>
              <c:f>[4]Run!$U$5:$U$41</c:f>
              <c:numCache>
                <c:formatCode>General</c:formatCode>
                <c:ptCount val="37"/>
                <c:pt idx="0">
                  <c:v>11</c:v>
                </c:pt>
                <c:pt idx="1">
                  <c:v>18</c:v>
                </c:pt>
                <c:pt idx="2">
                  <c:v>46</c:v>
                </c:pt>
                <c:pt idx="3">
                  <c:v>25</c:v>
                </c:pt>
                <c:pt idx="4">
                  <c:v>43</c:v>
                </c:pt>
                <c:pt idx="5">
                  <c:v>24</c:v>
                </c:pt>
                <c:pt idx="6">
                  <c:v>4</c:v>
                </c:pt>
                <c:pt idx="7">
                  <c:v>26</c:v>
                </c:pt>
                <c:pt idx="8">
                  <c:v>22</c:v>
                </c:pt>
                <c:pt idx="9">
                  <c:v>0</c:v>
                </c:pt>
                <c:pt idx="10">
                  <c:v>0</c:v>
                </c:pt>
                <c:pt idx="11">
                  <c:v>1</c:v>
                </c:pt>
                <c:pt idx="12">
                  <c:v>0</c:v>
                </c:pt>
                <c:pt idx="13">
                  <c:v>1</c:v>
                </c:pt>
                <c:pt idx="14">
                  <c:v>0</c:v>
                </c:pt>
                <c:pt idx="15">
                  <c:v>0</c:v>
                </c:pt>
                <c:pt idx="16">
                  <c:v>0</c:v>
                </c:pt>
                <c:pt idx="17">
                  <c:v>1</c:v>
                </c:pt>
                <c:pt idx="18">
                  <c:v>1</c:v>
                </c:pt>
                <c:pt idx="19">
                  <c:v>1</c:v>
                </c:pt>
                <c:pt idx="20">
                  <c:v>15</c:v>
                </c:pt>
                <c:pt idx="21">
                  <c:v>4</c:v>
                </c:pt>
                <c:pt idx="22">
                  <c:v>4</c:v>
                </c:pt>
                <c:pt idx="23">
                  <c:v>2</c:v>
                </c:pt>
                <c:pt idx="24">
                  <c:v>4</c:v>
                </c:pt>
                <c:pt idx="25">
                  <c:v>1</c:v>
                </c:pt>
                <c:pt idx="26">
                  <c:v>44</c:v>
                </c:pt>
                <c:pt idx="27">
                  <c:v>3</c:v>
                </c:pt>
                <c:pt idx="28">
                  <c:v>71</c:v>
                </c:pt>
                <c:pt idx="29">
                  <c:v>84</c:v>
                </c:pt>
                <c:pt idx="30">
                  <c:v>159</c:v>
                </c:pt>
                <c:pt idx="31">
                  <c:v>298</c:v>
                </c:pt>
                <c:pt idx="32">
                  <c:v>66</c:v>
                </c:pt>
                <c:pt idx="33">
                  <c:v>380</c:v>
                </c:pt>
                <c:pt idx="34">
                  <c:v>139</c:v>
                </c:pt>
                <c:pt idx="35">
                  <c:v>1300</c:v>
                </c:pt>
                <c:pt idx="36">
                  <c:v>129</c:v>
                </c:pt>
              </c:numCache>
            </c:numRef>
          </c:val>
          <c:extLst>
            <c:ext xmlns:c16="http://schemas.microsoft.com/office/drawing/2014/chart" uri="{C3380CC4-5D6E-409C-BE32-E72D297353CC}">
              <c16:uniqueId val="{00000003-B323-4D68-832D-7698D0FEB91F}"/>
            </c:ext>
          </c:extLst>
        </c:ser>
        <c:dLbls>
          <c:showLegendKey val="0"/>
          <c:showVal val="0"/>
          <c:showCatName val="0"/>
          <c:showSerName val="0"/>
          <c:showPercent val="0"/>
          <c:showBubbleSize val="0"/>
        </c:dLbls>
        <c:gapWidth val="10"/>
        <c:overlap val="100"/>
        <c:axId val="241743864"/>
        <c:axId val="356108376"/>
      </c:barChart>
      <c:catAx>
        <c:axId val="241743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356108376"/>
        <c:crosses val="autoZero"/>
        <c:auto val="1"/>
        <c:lblAlgn val="ctr"/>
        <c:lblOffset val="100"/>
        <c:noMultiLvlLbl val="0"/>
      </c:catAx>
      <c:valAx>
        <c:axId val="356108376"/>
        <c:scaling>
          <c:orientation val="minMax"/>
          <c:max val="3000"/>
        </c:scaling>
        <c:delete val="0"/>
        <c:axPos val="l"/>
        <c:majorGridlines>
          <c:spPr>
            <a:ln w="9525" cap="flat" cmpd="sng" algn="ctr">
              <a:solidFill>
                <a:schemeClr val="bg1">
                  <a:lumMod val="50000"/>
                </a:schemeClr>
              </a:solidFill>
              <a:prstDash val="dash"/>
              <a:round/>
            </a:ln>
            <a:effectLst/>
          </c:spPr>
        </c:majorGridlines>
        <c:title>
          <c:tx>
            <c:rich>
              <a:bodyPr rot="-5400000" spcFirstLastPara="1" vertOverflow="ellipsis" vert="horz" wrap="square" anchor="ctr" anchorCtr="1"/>
              <a:lstStyle/>
              <a:p>
                <a:pPr>
                  <a:defRPr sz="1200" b="1" i="0" u="none" strike="noStrike" kern="1200" baseline="0">
                    <a:solidFill>
                      <a:schemeClr val="tx1"/>
                    </a:solidFill>
                    <a:latin typeface="+mn-lt"/>
                    <a:ea typeface="+mn-ea"/>
                    <a:cs typeface="+mn-cs"/>
                  </a:defRPr>
                </a:pPr>
                <a:r>
                  <a:rPr lang="en-US" sz="1200"/>
                  <a:t>Abundance</a:t>
                </a:r>
              </a:p>
            </c:rich>
          </c:tx>
          <c:layout>
            <c:manualLayout>
              <c:xMode val="edge"/>
              <c:yMode val="edge"/>
              <c:x val="1.0541589329165572E-2"/>
              <c:y val="0.30022321751065517"/>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241743864"/>
        <c:crosses val="autoZero"/>
        <c:crossBetween val="between"/>
        <c:majorUnit val="1000"/>
      </c:valAx>
      <c:spPr>
        <a:gradFill>
          <a:gsLst>
            <a:gs pos="2000">
              <a:srgbClr val="FFE5E5"/>
            </a:gs>
            <a:gs pos="74000">
              <a:srgbClr val="FFAFAF"/>
            </a:gs>
            <a:gs pos="83000">
              <a:srgbClr val="FFAFAF"/>
            </a:gs>
            <a:gs pos="100000">
              <a:srgbClr val="FFCDCD"/>
            </a:gs>
          </a:gsLst>
          <a:lin ang="5400000" scaled="1"/>
        </a:gradFill>
        <a:ln>
          <a:solidFill>
            <a:schemeClr val="tx1"/>
          </a:solidFill>
        </a:ln>
        <a:effectLst/>
      </c:spPr>
    </c:plotArea>
    <c:legend>
      <c:legendPos val="r"/>
      <c:layout>
        <c:manualLayout>
          <c:xMode val="edge"/>
          <c:yMode val="edge"/>
          <c:x val="0.11655961974750691"/>
          <c:y val="9.3128295889619309E-2"/>
          <c:w val="0.32981991601296279"/>
          <c:h val="0.33213898721375429"/>
        </c:manualLayout>
      </c:layout>
      <c:overlay val="0"/>
      <c:spPr>
        <a:solidFill>
          <a:schemeClr val="bg1"/>
        </a:solidFill>
        <a:ln>
          <a:solidFill>
            <a:schemeClr val="tx1"/>
          </a:solid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b="1">
          <a:solidFill>
            <a:schemeClr val="tx1"/>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solidFill>
                  <a:schemeClr val="tx1"/>
                </a:solidFill>
              </a:rPr>
              <a:t>Harvest Distribution</a:t>
            </a:r>
          </a:p>
          <a:p>
            <a:pPr>
              <a:defRPr b="1">
                <a:solidFill>
                  <a:schemeClr val="tx1"/>
                </a:solidFill>
              </a:defRPr>
            </a:pPr>
            <a:r>
              <a:rPr lang="en-US" b="1">
                <a:solidFill>
                  <a:schemeClr val="tx1"/>
                </a:solidFill>
              </a:rPr>
              <a:t>2007-2016</a:t>
            </a:r>
            <a:r>
              <a:rPr lang="en-US" b="1" baseline="0">
                <a:solidFill>
                  <a:schemeClr val="tx1"/>
                </a:solidFill>
              </a:rPr>
              <a:t> avg.</a:t>
            </a:r>
            <a:endParaRPr lang="en-US" b="1">
              <a:solidFill>
                <a:schemeClr val="tx1"/>
              </a:solidFill>
            </a:endParaRPr>
          </a:p>
        </c:rich>
      </c:tx>
      <c:layout>
        <c:manualLayout>
          <c:xMode val="edge"/>
          <c:yMode val="edge"/>
          <c:x val="3.4465223097112863E-2"/>
          <c:y val="5.092592592592592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25269959726661878"/>
          <c:y val="0.2562634004125009"/>
          <c:w val="0.54001364432408594"/>
          <c:h val="0.6992036601087922"/>
        </c:manualLayout>
      </c:layout>
      <c:pieChart>
        <c:varyColors val="1"/>
        <c:ser>
          <c:idx val="0"/>
          <c:order val="0"/>
          <c:spPr>
            <a:ln w="9525">
              <a:solidFill>
                <a:schemeClr val="tx1"/>
              </a:solidFill>
            </a:ln>
          </c:spPr>
          <c:dPt>
            <c:idx val="0"/>
            <c:bubble3D val="0"/>
            <c:spPr>
              <a:solidFill>
                <a:srgbClr val="FFAFAF"/>
              </a:solidFill>
              <a:ln w="9525">
                <a:solidFill>
                  <a:schemeClr val="tx1"/>
                </a:solidFill>
              </a:ln>
              <a:effectLst/>
            </c:spPr>
            <c:extLst>
              <c:ext xmlns:c16="http://schemas.microsoft.com/office/drawing/2014/chart" uri="{C3380CC4-5D6E-409C-BE32-E72D297353CC}">
                <c16:uniqueId val="{00000001-42FF-4209-A203-39535F392A06}"/>
              </c:ext>
            </c:extLst>
          </c:dPt>
          <c:dPt>
            <c:idx val="1"/>
            <c:bubble3D val="0"/>
            <c:spPr>
              <a:solidFill>
                <a:srgbClr val="E10101"/>
              </a:solidFill>
              <a:ln w="9525">
                <a:solidFill>
                  <a:schemeClr val="tx1"/>
                </a:solidFill>
              </a:ln>
              <a:effectLst/>
            </c:spPr>
            <c:extLst>
              <c:ext xmlns:c16="http://schemas.microsoft.com/office/drawing/2014/chart" uri="{C3380CC4-5D6E-409C-BE32-E72D297353CC}">
                <c16:uniqueId val="{00000003-42FF-4209-A203-39535F392A06}"/>
              </c:ext>
            </c:extLst>
          </c:dPt>
          <c:dLbls>
            <c:dLbl>
              <c:idx val="0"/>
              <c:layout>
                <c:manualLayout>
                  <c:x val="-1.4021494146398666E-2"/>
                  <c:y val="-0.1255942540723981"/>
                </c:manualLayout>
              </c:layout>
              <c:tx>
                <c:rich>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fld id="{EF2307A0-63DD-4146-87D1-CE770139A013}" type="CELLRANGE">
                      <a:rPr lang="en-US" baseline="0"/>
                      <a:pPr>
                        <a:defRPr sz="1100" b="1"/>
                      </a:pPr>
                      <a:t>[CELLRANGE]</a:t>
                    </a:fld>
                    <a:r>
                      <a:rPr lang="en-US" baseline="0"/>
                      <a:t>, </a:t>
                    </a:r>
                    <a:fld id="{42B77022-8355-40B0-9961-24EBA0C10F5B}" type="VALUE">
                      <a:rPr lang="en-US" baseline="0"/>
                      <a:pPr>
                        <a:defRPr sz="1100" b="1"/>
                      </a:pPr>
                      <a:t>[VALUE]</a:t>
                    </a:fld>
                    <a:endParaRPr lang="en-US" baseline="0"/>
                  </a:p>
                </c:rich>
              </c:tx>
              <c:spPr>
                <a:noFill/>
                <a:ln>
                  <a:noFill/>
                </a:ln>
                <a:effectLst/>
              </c:spPr>
              <c:txPr>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26114053713235053"/>
                      <c:h val="0.25758954351361363"/>
                    </c:manualLayout>
                  </c15:layout>
                  <c15:dlblFieldTable/>
                  <c15:showDataLabelsRange val="1"/>
                </c:ext>
                <c:ext xmlns:c16="http://schemas.microsoft.com/office/drawing/2014/chart" uri="{C3380CC4-5D6E-409C-BE32-E72D297353CC}">
                  <c16:uniqueId val="{00000001-42FF-4209-A203-39535F392A06}"/>
                </c:ext>
              </c:extLst>
            </c:dLbl>
            <c:dLbl>
              <c:idx val="1"/>
              <c:layout>
                <c:manualLayout>
                  <c:x val="-5.5871653135983024E-2"/>
                  <c:y val="-1.4966911825526286E-2"/>
                </c:manualLayout>
              </c:layout>
              <c:tx>
                <c:rich>
                  <a:bodyPr/>
                  <a:lstStyle/>
                  <a:p>
                    <a:fld id="{7CC77B75-8056-4F8D-9DF5-5B007B6C4159}" type="CELLRANGE">
                      <a:rPr lang="en-US" baseline="0"/>
                      <a:pPr/>
                      <a:t>[CELLRANGE]</a:t>
                    </a:fld>
                    <a:r>
                      <a:rPr lang="en-US" baseline="0"/>
                      <a:t>, </a:t>
                    </a:r>
                    <a:fld id="{33E079E9-D197-4118-B9F2-DCDBF43A36BC}" type="VALUE">
                      <a:rPr lang="en-US" baseline="0"/>
                      <a:pPr/>
                      <a:t>[VALUE]</a:t>
                    </a:fld>
                    <a:endParaRPr lang="en-US" baseline="0"/>
                  </a:p>
                </c:rich>
              </c:tx>
              <c:showLegendKey val="0"/>
              <c:showVal val="1"/>
              <c:showCatName val="0"/>
              <c:showSerName val="0"/>
              <c:showPercent val="0"/>
              <c:showBubbleSize val="0"/>
              <c:extLst>
                <c:ext xmlns:c15="http://schemas.microsoft.com/office/drawing/2012/chart" uri="{CE6537A1-D6FC-4f65-9D91-7224C49458BB}">
                  <c15:layout>
                    <c:manualLayout>
                      <c:w val="0.21480716147238885"/>
                      <c:h val="0.21151463085554503"/>
                    </c:manualLayout>
                  </c15:layout>
                  <c15:dlblFieldTable/>
                  <c15:showDataLabelsRange val="1"/>
                </c:ext>
                <c:ext xmlns:c16="http://schemas.microsoft.com/office/drawing/2014/chart" uri="{C3380CC4-5D6E-409C-BE32-E72D297353CC}">
                  <c16:uniqueId val="{00000003-42FF-4209-A203-39535F392A06}"/>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val>
            <c:numRef>
              <c:f>[4]Run!$J$44:$K$44</c:f>
              <c:numCache>
                <c:formatCode>General</c:formatCode>
                <c:ptCount val="2"/>
                <c:pt idx="0">
                  <c:v>4.4416767897870512E-3</c:v>
                </c:pt>
                <c:pt idx="1">
                  <c:v>5.6641998426563443E-2</c:v>
                </c:pt>
              </c:numCache>
            </c:numRef>
          </c:val>
          <c:extLst>
            <c:ext xmlns:c15="http://schemas.microsoft.com/office/drawing/2012/chart" uri="{02D57815-91ED-43cb-92C2-25804820EDAC}">
              <c15:datalabelsRange>
                <c15:f>[4]Run!$J$3:$K$3</c15:f>
                <c15:dlblRangeCache>
                  <c:ptCount val="2"/>
                  <c:pt idx="0">
                    <c:v>Columbia R Nontreaty</c:v>
                  </c:pt>
                  <c:pt idx="1">
                    <c:v>Columbia R Treaty</c:v>
                  </c:pt>
                </c15:dlblRangeCache>
              </c15:datalabelsRange>
            </c:ext>
            <c:ext xmlns:c16="http://schemas.microsoft.com/office/drawing/2014/chart" uri="{C3380CC4-5D6E-409C-BE32-E72D297353CC}">
              <c16:uniqueId val="{00000004-42FF-4209-A203-39535F392A06}"/>
            </c:ext>
          </c:extLst>
        </c:ser>
        <c:dLbls>
          <c:showLegendKey val="0"/>
          <c:showVal val="0"/>
          <c:showCatName val="0"/>
          <c:showSerName val="0"/>
          <c:showPercent val="0"/>
          <c:showBubbleSize val="0"/>
          <c:showLeaderLines val="1"/>
        </c:dLbls>
        <c:firstSliceAng val="42"/>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746981627296588"/>
          <c:y val="5.0925925925925923E-2"/>
          <c:w val="0.82197462817147859"/>
          <c:h val="0.80463764946048411"/>
        </c:manualLayout>
      </c:layout>
      <c:barChart>
        <c:barDir val="col"/>
        <c:grouping val="stacked"/>
        <c:varyColors val="0"/>
        <c:ser>
          <c:idx val="0"/>
          <c:order val="0"/>
          <c:tx>
            <c:v>Natural return to Sawtooth Valley</c:v>
          </c:tx>
          <c:spPr>
            <a:solidFill>
              <a:schemeClr val="accent6">
                <a:lumMod val="75000"/>
              </a:schemeClr>
            </a:solidFill>
            <a:ln>
              <a:solidFill>
                <a:schemeClr val="tx1"/>
              </a:solidFill>
            </a:ln>
            <a:effectLst/>
          </c:spPr>
          <c:invertIfNegative val="0"/>
          <c:cat>
            <c:numRef>
              <c:f>[4]Run!$B$5:$B$41</c:f>
              <c:numCache>
                <c:formatCode>General</c:formatCode>
                <c:ptCount val="37"/>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numCache>
            </c:numRef>
          </c:cat>
          <c:val>
            <c:numRef>
              <c:f>[4]Run!$O$5:$O$41</c:f>
              <c:numCache>
                <c:formatCode>General</c:formatCode>
                <c:ptCount val="37"/>
                <c:pt idx="19">
                  <c:v>0</c:v>
                </c:pt>
                <c:pt idx="20">
                  <c:v>10</c:v>
                </c:pt>
                <c:pt idx="21">
                  <c:v>4</c:v>
                </c:pt>
                <c:pt idx="22">
                  <c:v>6</c:v>
                </c:pt>
                <c:pt idx="23">
                  <c:v>0</c:v>
                </c:pt>
                <c:pt idx="24">
                  <c:v>4</c:v>
                </c:pt>
                <c:pt idx="25">
                  <c:v>2</c:v>
                </c:pt>
                <c:pt idx="26">
                  <c:v>1</c:v>
                </c:pt>
                <c:pt idx="27">
                  <c:v>3</c:v>
                </c:pt>
                <c:pt idx="28">
                  <c:v>140</c:v>
                </c:pt>
                <c:pt idx="29">
                  <c:v>86</c:v>
                </c:pt>
                <c:pt idx="30">
                  <c:v>178</c:v>
                </c:pt>
                <c:pt idx="31">
                  <c:v>145</c:v>
                </c:pt>
                <c:pt idx="32">
                  <c:v>52</c:v>
                </c:pt>
                <c:pt idx="33">
                  <c:v>79</c:v>
                </c:pt>
                <c:pt idx="34">
                  <c:v>453</c:v>
                </c:pt>
                <c:pt idx="35">
                  <c:v>26.872813422145867</c:v>
                </c:pt>
                <c:pt idx="36">
                  <c:v>175.70685699095372</c:v>
                </c:pt>
              </c:numCache>
            </c:numRef>
          </c:val>
          <c:extLst>
            <c:ext xmlns:c16="http://schemas.microsoft.com/office/drawing/2014/chart" uri="{C3380CC4-5D6E-409C-BE32-E72D297353CC}">
              <c16:uniqueId val="{00000000-D51C-48DE-A35E-B366B953EDA4}"/>
            </c:ext>
          </c:extLst>
        </c:ser>
        <c:ser>
          <c:idx val="1"/>
          <c:order val="1"/>
          <c:tx>
            <c:v>Hatchery return to Sawtooth Valley</c:v>
          </c:tx>
          <c:spPr>
            <a:solidFill>
              <a:schemeClr val="accent5">
                <a:lumMod val="40000"/>
                <a:lumOff val="60000"/>
              </a:schemeClr>
            </a:solidFill>
            <a:ln>
              <a:solidFill>
                <a:schemeClr val="tx1"/>
              </a:solidFill>
            </a:ln>
            <a:effectLst/>
          </c:spPr>
          <c:invertIfNegative val="0"/>
          <c:cat>
            <c:numRef>
              <c:f>[4]Run!$B$5:$B$41</c:f>
              <c:numCache>
                <c:formatCode>General</c:formatCode>
                <c:ptCount val="37"/>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numCache>
            </c:numRef>
          </c:cat>
          <c:val>
            <c:numRef>
              <c:f>[4]Run!$P$5:$P$41</c:f>
              <c:numCache>
                <c:formatCode>General</c:formatCode>
                <c:ptCount val="37"/>
                <c:pt idx="19">
                  <c:v>7</c:v>
                </c:pt>
                <c:pt idx="20">
                  <c:v>233</c:v>
                </c:pt>
                <c:pt idx="21">
                  <c:v>19</c:v>
                </c:pt>
                <c:pt idx="22">
                  <c:v>9</c:v>
                </c:pt>
                <c:pt idx="23">
                  <c:v>2</c:v>
                </c:pt>
                <c:pt idx="24">
                  <c:v>20</c:v>
                </c:pt>
                <c:pt idx="25">
                  <c:v>4</c:v>
                </c:pt>
                <c:pt idx="26">
                  <c:v>2</c:v>
                </c:pt>
                <c:pt idx="27">
                  <c:v>1</c:v>
                </c:pt>
                <c:pt idx="28">
                  <c:v>456</c:v>
                </c:pt>
                <c:pt idx="29">
                  <c:v>730</c:v>
                </c:pt>
                <c:pt idx="30">
                  <c:v>1144</c:v>
                </c:pt>
                <c:pt idx="31">
                  <c:v>954</c:v>
                </c:pt>
                <c:pt idx="32">
                  <c:v>190</c:v>
                </c:pt>
                <c:pt idx="33">
                  <c:v>191</c:v>
                </c:pt>
                <c:pt idx="34">
                  <c:v>1062</c:v>
                </c:pt>
                <c:pt idx="35">
                  <c:v>64.127186577854133</c:v>
                </c:pt>
                <c:pt idx="36">
                  <c:v>419.29314300904628</c:v>
                </c:pt>
              </c:numCache>
            </c:numRef>
          </c:val>
          <c:extLst>
            <c:ext xmlns:c16="http://schemas.microsoft.com/office/drawing/2014/chart" uri="{C3380CC4-5D6E-409C-BE32-E72D297353CC}">
              <c16:uniqueId val="{00000001-D51C-48DE-A35E-B366B953EDA4}"/>
            </c:ext>
          </c:extLst>
        </c:ser>
        <c:ser>
          <c:idx val="2"/>
          <c:order val="2"/>
          <c:tx>
            <c:v>Lower Granite return</c:v>
          </c:tx>
          <c:spPr>
            <a:solidFill>
              <a:srgbClr val="800000"/>
            </a:solidFill>
            <a:ln>
              <a:solidFill>
                <a:schemeClr val="tx1">
                  <a:lumMod val="95000"/>
                  <a:lumOff val="5000"/>
                </a:schemeClr>
              </a:solidFill>
            </a:ln>
            <a:effectLst/>
          </c:spPr>
          <c:invertIfNegative val="0"/>
          <c:val>
            <c:numRef>
              <c:f>[4]Run!$T$5:$T$41</c:f>
              <c:numCache>
                <c:formatCode>General</c:formatCode>
                <c:ptCount val="37"/>
                <c:pt idx="0">
                  <c:v>96</c:v>
                </c:pt>
                <c:pt idx="1">
                  <c:v>218</c:v>
                </c:pt>
                <c:pt idx="2">
                  <c:v>211</c:v>
                </c:pt>
                <c:pt idx="3">
                  <c:v>216</c:v>
                </c:pt>
                <c:pt idx="4">
                  <c:v>105</c:v>
                </c:pt>
                <c:pt idx="5">
                  <c:v>35</c:v>
                </c:pt>
                <c:pt idx="6">
                  <c:v>20</c:v>
                </c:pt>
                <c:pt idx="7">
                  <c:v>29</c:v>
                </c:pt>
                <c:pt idx="8">
                  <c:v>23</c:v>
                </c:pt>
                <c:pt idx="9">
                  <c:v>4</c:v>
                </c:pt>
                <c:pt idx="10">
                  <c:v>1</c:v>
                </c:pt>
                <c:pt idx="11">
                  <c:v>9</c:v>
                </c:pt>
                <c:pt idx="12">
                  <c:v>2</c:v>
                </c:pt>
                <c:pt idx="13">
                  <c:v>17</c:v>
                </c:pt>
                <c:pt idx="14">
                  <c:v>3</c:v>
                </c:pt>
                <c:pt idx="15">
                  <c:v>5</c:v>
                </c:pt>
                <c:pt idx="16">
                  <c:v>3</c:v>
                </c:pt>
                <c:pt idx="17">
                  <c:v>17</c:v>
                </c:pt>
                <c:pt idx="18">
                  <c:v>3</c:v>
                </c:pt>
                <c:pt idx="19">
                  <c:v>11</c:v>
                </c:pt>
                <c:pt idx="20">
                  <c:v>80</c:v>
                </c:pt>
                <c:pt idx="21">
                  <c:v>19</c:v>
                </c:pt>
                <c:pt idx="22">
                  <c:v>50</c:v>
                </c:pt>
                <c:pt idx="23">
                  <c:v>23</c:v>
                </c:pt>
                <c:pt idx="24">
                  <c:v>86</c:v>
                </c:pt>
                <c:pt idx="25">
                  <c:v>13</c:v>
                </c:pt>
                <c:pt idx="26">
                  <c:v>13</c:v>
                </c:pt>
                <c:pt idx="27">
                  <c:v>51</c:v>
                </c:pt>
                <c:pt idx="28">
                  <c:v>260</c:v>
                </c:pt>
                <c:pt idx="29">
                  <c:v>572</c:v>
                </c:pt>
                <c:pt idx="30">
                  <c:v>1037</c:v>
                </c:pt>
                <c:pt idx="31">
                  <c:v>383</c:v>
                </c:pt>
                <c:pt idx="32">
                  <c:v>189</c:v>
                </c:pt>
                <c:pt idx="33">
                  <c:v>485</c:v>
                </c:pt>
                <c:pt idx="34">
                  <c:v>1208</c:v>
                </c:pt>
                <c:pt idx="35">
                  <c:v>349</c:v>
                </c:pt>
                <c:pt idx="36">
                  <c:v>220</c:v>
                </c:pt>
              </c:numCache>
            </c:numRef>
          </c:val>
          <c:extLst>
            <c:ext xmlns:c16="http://schemas.microsoft.com/office/drawing/2014/chart" uri="{C3380CC4-5D6E-409C-BE32-E72D297353CC}">
              <c16:uniqueId val="{00000002-D51C-48DE-A35E-B366B953EDA4}"/>
            </c:ext>
          </c:extLst>
        </c:ser>
        <c:ser>
          <c:idx val="3"/>
          <c:order val="3"/>
          <c:tx>
            <c:v>Columbia River return</c:v>
          </c:tx>
          <c:spPr>
            <a:solidFill>
              <a:srgbClr val="FF0000"/>
            </a:solidFill>
            <a:ln>
              <a:solidFill>
                <a:schemeClr val="tx1"/>
              </a:solidFill>
            </a:ln>
            <a:effectLst/>
          </c:spPr>
          <c:invertIfNegative val="0"/>
          <c:val>
            <c:numRef>
              <c:f>[4]Run!$U$5:$U$41</c:f>
              <c:numCache>
                <c:formatCode>General</c:formatCode>
                <c:ptCount val="37"/>
                <c:pt idx="0">
                  <c:v>11</c:v>
                </c:pt>
                <c:pt idx="1">
                  <c:v>18</c:v>
                </c:pt>
                <c:pt idx="2">
                  <c:v>46</c:v>
                </c:pt>
                <c:pt idx="3">
                  <c:v>25</c:v>
                </c:pt>
                <c:pt idx="4">
                  <c:v>43</c:v>
                </c:pt>
                <c:pt idx="5">
                  <c:v>24</c:v>
                </c:pt>
                <c:pt idx="6">
                  <c:v>4</c:v>
                </c:pt>
                <c:pt idx="7">
                  <c:v>26</c:v>
                </c:pt>
                <c:pt idx="8">
                  <c:v>22</c:v>
                </c:pt>
                <c:pt idx="9">
                  <c:v>0</c:v>
                </c:pt>
                <c:pt idx="10">
                  <c:v>0</c:v>
                </c:pt>
                <c:pt idx="11">
                  <c:v>1</c:v>
                </c:pt>
                <c:pt idx="12">
                  <c:v>0</c:v>
                </c:pt>
                <c:pt idx="13">
                  <c:v>1</c:v>
                </c:pt>
                <c:pt idx="14">
                  <c:v>0</c:v>
                </c:pt>
                <c:pt idx="15">
                  <c:v>0</c:v>
                </c:pt>
                <c:pt idx="16">
                  <c:v>0</c:v>
                </c:pt>
                <c:pt idx="17">
                  <c:v>1</c:v>
                </c:pt>
                <c:pt idx="18">
                  <c:v>1</c:v>
                </c:pt>
                <c:pt idx="19">
                  <c:v>1</c:v>
                </c:pt>
                <c:pt idx="20">
                  <c:v>15</c:v>
                </c:pt>
                <c:pt idx="21">
                  <c:v>4</c:v>
                </c:pt>
                <c:pt idx="22">
                  <c:v>4</c:v>
                </c:pt>
                <c:pt idx="23">
                  <c:v>2</c:v>
                </c:pt>
                <c:pt idx="24">
                  <c:v>4</c:v>
                </c:pt>
                <c:pt idx="25">
                  <c:v>1</c:v>
                </c:pt>
                <c:pt idx="26">
                  <c:v>44</c:v>
                </c:pt>
                <c:pt idx="27">
                  <c:v>3</c:v>
                </c:pt>
                <c:pt idx="28">
                  <c:v>71</c:v>
                </c:pt>
                <c:pt idx="29">
                  <c:v>84</c:v>
                </c:pt>
                <c:pt idx="30">
                  <c:v>159</c:v>
                </c:pt>
                <c:pt idx="31">
                  <c:v>298</c:v>
                </c:pt>
                <c:pt idx="32">
                  <c:v>66</c:v>
                </c:pt>
                <c:pt idx="33">
                  <c:v>380</c:v>
                </c:pt>
                <c:pt idx="34">
                  <c:v>139</c:v>
                </c:pt>
                <c:pt idx="35">
                  <c:v>1300</c:v>
                </c:pt>
                <c:pt idx="36">
                  <c:v>129</c:v>
                </c:pt>
              </c:numCache>
            </c:numRef>
          </c:val>
          <c:extLst>
            <c:ext xmlns:c16="http://schemas.microsoft.com/office/drawing/2014/chart" uri="{C3380CC4-5D6E-409C-BE32-E72D297353CC}">
              <c16:uniqueId val="{00000003-D51C-48DE-A35E-B366B953EDA4}"/>
            </c:ext>
          </c:extLst>
        </c:ser>
        <c:dLbls>
          <c:showLegendKey val="0"/>
          <c:showVal val="0"/>
          <c:showCatName val="0"/>
          <c:showSerName val="0"/>
          <c:showPercent val="0"/>
          <c:showBubbleSize val="0"/>
        </c:dLbls>
        <c:gapWidth val="10"/>
        <c:overlap val="100"/>
        <c:axId val="356111904"/>
        <c:axId val="356111512"/>
      </c:barChart>
      <c:catAx>
        <c:axId val="356111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356111512"/>
        <c:crosses val="autoZero"/>
        <c:auto val="1"/>
        <c:lblAlgn val="ctr"/>
        <c:lblOffset val="100"/>
        <c:noMultiLvlLbl val="0"/>
      </c:catAx>
      <c:valAx>
        <c:axId val="356111512"/>
        <c:scaling>
          <c:orientation val="minMax"/>
          <c:max val="3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en-US"/>
                  <a:t>Abundance</a:t>
                </a:r>
              </a:p>
            </c:rich>
          </c:tx>
          <c:layout>
            <c:manualLayout>
              <c:xMode val="edge"/>
              <c:yMode val="edge"/>
              <c:x val="1.0541557305336832E-2"/>
              <c:y val="0.20389289880431613"/>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356111904"/>
        <c:crosses val="autoZero"/>
        <c:crossBetween val="between"/>
      </c:valAx>
      <c:spPr>
        <a:noFill/>
        <a:ln>
          <a:noFill/>
        </a:ln>
        <a:effectLst/>
      </c:spPr>
    </c:plotArea>
    <c:legend>
      <c:legendPos val="r"/>
      <c:layout>
        <c:manualLayout>
          <c:xMode val="edge"/>
          <c:yMode val="edge"/>
          <c:x val="0.1560455092942149"/>
          <c:y val="8.8541119860017503E-2"/>
          <c:w val="0.50074695286376869"/>
          <c:h val="0.25694663167104109"/>
        </c:manualLayout>
      </c:layout>
      <c:overlay val="0"/>
      <c:spPr>
        <a:solidFill>
          <a:schemeClr val="bg1"/>
        </a:solidFill>
        <a:ln>
          <a:solidFill>
            <a:schemeClr val="tx1"/>
          </a:solid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chemeClr val="tx1"/>
          </a:solidFil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solidFill>
                  <a:schemeClr val="tx1"/>
                </a:solidFill>
              </a:rPr>
              <a:t>Harvest Distribution</a:t>
            </a:r>
          </a:p>
          <a:p>
            <a:pPr>
              <a:defRPr b="1">
                <a:solidFill>
                  <a:schemeClr val="tx1"/>
                </a:solidFill>
              </a:defRPr>
            </a:pPr>
            <a:r>
              <a:rPr lang="en-US" b="1">
                <a:solidFill>
                  <a:schemeClr val="tx1"/>
                </a:solidFill>
              </a:rPr>
              <a:t>2007-2016</a:t>
            </a:r>
            <a:r>
              <a:rPr lang="en-US" b="1" baseline="0">
                <a:solidFill>
                  <a:schemeClr val="tx1"/>
                </a:solidFill>
              </a:rPr>
              <a:t> avg.</a:t>
            </a:r>
            <a:endParaRPr lang="en-US" b="1">
              <a:solidFill>
                <a:schemeClr val="tx1"/>
              </a:solidFill>
            </a:endParaRPr>
          </a:p>
        </c:rich>
      </c:tx>
      <c:layout>
        <c:manualLayout>
          <c:xMode val="edge"/>
          <c:yMode val="edge"/>
          <c:x val="3.4465223097112863E-2"/>
          <c:y val="5.092592592592592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34608333333333335"/>
          <c:y val="9.3425925925925926E-2"/>
          <c:w val="0.50227777777777782"/>
          <c:h val="0.83712962962962967"/>
        </c:manualLayout>
      </c:layout>
      <c:pieChart>
        <c:varyColors val="1"/>
        <c:ser>
          <c:idx val="0"/>
          <c:order val="0"/>
          <c:spPr>
            <a:ln w="9525">
              <a:solidFill>
                <a:schemeClr val="tx1"/>
              </a:solidFill>
            </a:ln>
          </c:spPr>
          <c:dPt>
            <c:idx val="0"/>
            <c:bubble3D val="0"/>
            <c:spPr>
              <a:solidFill>
                <a:schemeClr val="accent1"/>
              </a:solidFill>
              <a:ln w="9525">
                <a:solidFill>
                  <a:schemeClr val="tx1"/>
                </a:solidFill>
              </a:ln>
              <a:effectLst/>
            </c:spPr>
            <c:extLst>
              <c:ext xmlns:c16="http://schemas.microsoft.com/office/drawing/2014/chart" uri="{C3380CC4-5D6E-409C-BE32-E72D297353CC}">
                <c16:uniqueId val="{00000001-6738-427E-9FDC-F100ED7CF2E1}"/>
              </c:ext>
            </c:extLst>
          </c:dPt>
          <c:dPt>
            <c:idx val="1"/>
            <c:bubble3D val="0"/>
            <c:spPr>
              <a:solidFill>
                <a:schemeClr val="accent6">
                  <a:lumMod val="60000"/>
                  <a:lumOff val="40000"/>
                </a:schemeClr>
              </a:solidFill>
              <a:ln w="9525">
                <a:solidFill>
                  <a:schemeClr val="tx1"/>
                </a:solidFill>
              </a:ln>
              <a:effectLst/>
            </c:spPr>
            <c:extLst>
              <c:ext xmlns:c16="http://schemas.microsoft.com/office/drawing/2014/chart" uri="{C3380CC4-5D6E-409C-BE32-E72D297353CC}">
                <c16:uniqueId val="{00000003-6738-427E-9FDC-F100ED7CF2E1}"/>
              </c:ext>
            </c:extLst>
          </c:dPt>
          <c:dLbls>
            <c:dLbl>
              <c:idx val="0"/>
              <c:layout>
                <c:manualLayout>
                  <c:x val="2.5281824146981626E-2"/>
                  <c:y val="-7.6734470691163598E-2"/>
                </c:manualLayout>
              </c:layout>
              <c:tx>
                <c:rich>
                  <a:bodyPr/>
                  <a:lstStyle/>
                  <a:p>
                    <a:fld id="{62ACC1E8-3F21-4BBF-BCA5-C92CD53401BE}" type="CELLRANGE">
                      <a:rPr lang="en-US" baseline="0"/>
                      <a:pPr/>
                      <a:t>[CELLRANGE]</a:t>
                    </a:fld>
                    <a:r>
                      <a:rPr lang="en-US" baseline="0"/>
                      <a:t>, </a:t>
                    </a:r>
                    <a:fld id="{757A7E83-4116-4044-A0B7-7D2EEEF99A72}" type="VALUE">
                      <a:rPr lang="en-US" baseline="0"/>
                      <a:pPr/>
                      <a:t>[VALUE]</a:t>
                    </a:fld>
                    <a:endParaRPr lang="en-US" baseline="0"/>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6738-427E-9FDC-F100ED7CF2E1}"/>
                </c:ext>
              </c:extLst>
            </c:dLbl>
            <c:dLbl>
              <c:idx val="1"/>
              <c:layout>
                <c:manualLayout>
                  <c:x val="-2.2043744531933508E-2"/>
                  <c:y val="7.4172134733158354E-2"/>
                </c:manualLayout>
              </c:layout>
              <c:tx>
                <c:rich>
                  <a:bodyPr/>
                  <a:lstStyle/>
                  <a:p>
                    <a:fld id="{76E3C029-B859-41DB-BBDB-BD2A8B567F43}" type="CELLRANGE">
                      <a:rPr lang="en-US" baseline="0"/>
                      <a:pPr/>
                      <a:t>[CELLRANGE]</a:t>
                    </a:fld>
                    <a:r>
                      <a:rPr lang="en-US" baseline="0"/>
                      <a:t>, </a:t>
                    </a:r>
                    <a:fld id="{19A8589E-5086-471C-8C91-AF6724F04A91}" type="VALUE">
                      <a:rPr lang="en-US" baseline="0"/>
                      <a:pPr/>
                      <a:t>[VALUE]</a:t>
                    </a:fld>
                    <a:endParaRPr lang="en-US" baseline="0"/>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6738-427E-9FDC-F100ED7CF2E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val>
            <c:numRef>
              <c:f>[4]Run!$J$44:$K$44</c:f>
              <c:numCache>
                <c:formatCode>General</c:formatCode>
                <c:ptCount val="2"/>
                <c:pt idx="0">
                  <c:v>4.4416767897870512E-3</c:v>
                </c:pt>
                <c:pt idx="1">
                  <c:v>5.6641998426563443E-2</c:v>
                </c:pt>
              </c:numCache>
            </c:numRef>
          </c:val>
          <c:extLst>
            <c:ext xmlns:c15="http://schemas.microsoft.com/office/drawing/2012/chart" uri="{02D57815-91ED-43cb-92C2-25804820EDAC}">
              <c15:datalabelsRange>
                <c15:f>[4]Run!$J$3:$K$3</c15:f>
                <c15:dlblRangeCache>
                  <c:ptCount val="2"/>
                  <c:pt idx="0">
                    <c:v>Columbia R Nontreaty</c:v>
                  </c:pt>
                  <c:pt idx="1">
                    <c:v>Columbia R Treaty</c:v>
                  </c:pt>
                </c15:dlblRangeCache>
              </c15:datalabelsRange>
            </c:ext>
            <c:ext xmlns:c16="http://schemas.microsoft.com/office/drawing/2014/chart" uri="{C3380CC4-5D6E-409C-BE32-E72D297353CC}">
              <c16:uniqueId val="{00000004-6738-427E-9FDC-F100ED7CF2E1}"/>
            </c:ext>
          </c:extLst>
        </c:ser>
        <c:dLbls>
          <c:showLegendKey val="0"/>
          <c:showVal val="0"/>
          <c:showCatName val="0"/>
          <c:showSerName val="0"/>
          <c:showPercent val="0"/>
          <c:showBubbleSize val="0"/>
          <c:showLeaderLines val="1"/>
        </c:dLbls>
        <c:firstSliceAng val="42"/>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48499372361063"/>
          <c:y val="5.8572949946751864E-2"/>
          <c:w val="0.68586357411845256"/>
          <c:h val="0.81790059788852276"/>
        </c:manualLayout>
      </c:layout>
      <c:barChart>
        <c:barDir val="col"/>
        <c:grouping val="stacked"/>
        <c:varyColors val="0"/>
        <c:ser>
          <c:idx val="0"/>
          <c:order val="0"/>
          <c:tx>
            <c:v>CR Treaty</c:v>
          </c:tx>
          <c:spPr>
            <a:solidFill>
              <a:schemeClr val="accent1"/>
            </a:solidFill>
            <a:ln>
              <a:solidFill>
                <a:schemeClr val="tx1"/>
              </a:solidFill>
            </a:ln>
            <a:effectLst/>
          </c:spPr>
          <c:invertIfNegative val="0"/>
          <c:dPt>
            <c:idx val="0"/>
            <c:invertIfNegative val="0"/>
            <c:bubble3D val="0"/>
            <c:spPr>
              <a:solidFill>
                <a:schemeClr val="tx2"/>
              </a:solidFill>
              <a:ln>
                <a:solidFill>
                  <a:schemeClr val="tx1"/>
                </a:solidFill>
              </a:ln>
              <a:effectLst/>
            </c:spPr>
            <c:extLst>
              <c:ext xmlns:c16="http://schemas.microsoft.com/office/drawing/2014/chart" uri="{C3380CC4-5D6E-409C-BE32-E72D297353CC}">
                <c16:uniqueId val="{00000001-FE35-44B4-87FC-049E8568E4F6}"/>
              </c:ext>
            </c:extLst>
          </c:dPt>
          <c:dPt>
            <c:idx val="1"/>
            <c:invertIfNegative val="0"/>
            <c:bubble3D val="0"/>
            <c:spPr>
              <a:solidFill>
                <a:schemeClr val="tx2"/>
              </a:solidFill>
              <a:ln>
                <a:solidFill>
                  <a:schemeClr val="tx1"/>
                </a:solidFill>
              </a:ln>
              <a:effectLst/>
            </c:spPr>
            <c:extLst>
              <c:ext xmlns:c16="http://schemas.microsoft.com/office/drawing/2014/chart" uri="{C3380CC4-5D6E-409C-BE32-E72D297353CC}">
                <c16:uniqueId val="{00000003-FE35-44B4-87FC-049E8568E4F6}"/>
              </c:ext>
            </c:extLst>
          </c:dPt>
          <c:cat>
            <c:strRef>
              <c:f>[1]Run!$AY$32:$AY$33</c:f>
              <c:strCache>
                <c:ptCount val="2"/>
                <c:pt idx="0">
                  <c:v>A-index</c:v>
                </c:pt>
                <c:pt idx="1">
                  <c:v>B-index</c:v>
                </c:pt>
              </c:strCache>
            </c:strRef>
          </c:cat>
          <c:val>
            <c:numRef>
              <c:f>[1]Run!$BA$32:$BA$33</c:f>
              <c:numCache>
                <c:formatCode>General</c:formatCode>
                <c:ptCount val="2"/>
                <c:pt idx="0">
                  <c:v>6.2700000000000006E-2</c:v>
                </c:pt>
                <c:pt idx="1">
                  <c:v>0.16850000000000001</c:v>
                </c:pt>
              </c:numCache>
            </c:numRef>
          </c:val>
          <c:extLst>
            <c:ext xmlns:c16="http://schemas.microsoft.com/office/drawing/2014/chart" uri="{C3380CC4-5D6E-409C-BE32-E72D297353CC}">
              <c16:uniqueId val="{00000004-FE35-44B4-87FC-049E8568E4F6}"/>
            </c:ext>
          </c:extLst>
        </c:ser>
        <c:ser>
          <c:idx val="1"/>
          <c:order val="1"/>
          <c:tx>
            <c:v>CR Non-Treaty</c:v>
          </c:tx>
          <c:spPr>
            <a:solidFill>
              <a:schemeClr val="tx2">
                <a:lumMod val="60000"/>
                <a:lumOff val="40000"/>
              </a:schemeClr>
            </a:solidFill>
            <a:ln>
              <a:solidFill>
                <a:schemeClr val="tx1"/>
              </a:solidFill>
            </a:ln>
            <a:effectLst/>
          </c:spPr>
          <c:invertIfNegative val="0"/>
          <c:cat>
            <c:strRef>
              <c:f>[1]Run!$AY$32:$AY$33</c:f>
              <c:strCache>
                <c:ptCount val="2"/>
                <c:pt idx="0">
                  <c:v>A-index</c:v>
                </c:pt>
                <c:pt idx="1">
                  <c:v>B-index</c:v>
                </c:pt>
              </c:strCache>
            </c:strRef>
          </c:cat>
          <c:val>
            <c:numRef>
              <c:f>[1]Run!$AZ$32:$AZ$33</c:f>
              <c:numCache>
                <c:formatCode>General</c:formatCode>
                <c:ptCount val="2"/>
                <c:pt idx="0">
                  <c:v>1.2E-2</c:v>
                </c:pt>
                <c:pt idx="1">
                  <c:v>0.02</c:v>
                </c:pt>
              </c:numCache>
            </c:numRef>
          </c:val>
          <c:extLst>
            <c:ext xmlns:c16="http://schemas.microsoft.com/office/drawing/2014/chart" uri="{C3380CC4-5D6E-409C-BE32-E72D297353CC}">
              <c16:uniqueId val="{00000005-FE35-44B4-87FC-049E8568E4F6}"/>
            </c:ext>
          </c:extLst>
        </c:ser>
        <c:ser>
          <c:idx val="2"/>
          <c:order val="2"/>
          <c:tx>
            <c:v>Terminal</c:v>
          </c:tx>
          <c:spPr>
            <a:solidFill>
              <a:schemeClr val="accent3"/>
            </a:solidFill>
            <a:ln>
              <a:noFill/>
            </a:ln>
            <a:effectLst/>
          </c:spPr>
          <c:invertIfNegative val="0"/>
          <c:val>
            <c:numRef>
              <c:f>[1]Run!$BB$32:$BB$33</c:f>
              <c:numCache>
                <c:formatCode>General</c:formatCode>
                <c:ptCount val="2"/>
              </c:numCache>
            </c:numRef>
          </c:val>
          <c:extLst>
            <c:ext xmlns:c16="http://schemas.microsoft.com/office/drawing/2014/chart" uri="{C3380CC4-5D6E-409C-BE32-E72D297353CC}">
              <c16:uniqueId val="{00000006-FE35-44B4-87FC-049E8568E4F6}"/>
            </c:ext>
          </c:extLst>
        </c:ser>
        <c:dLbls>
          <c:showLegendKey val="0"/>
          <c:showVal val="0"/>
          <c:showCatName val="0"/>
          <c:showSerName val="0"/>
          <c:showPercent val="0"/>
          <c:showBubbleSize val="0"/>
        </c:dLbls>
        <c:gapWidth val="38"/>
        <c:overlap val="100"/>
        <c:axId val="435743864"/>
        <c:axId val="445603864"/>
      </c:barChart>
      <c:catAx>
        <c:axId val="43574386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445603864"/>
        <c:crosses val="autoZero"/>
        <c:auto val="1"/>
        <c:lblAlgn val="ctr"/>
        <c:lblOffset val="100"/>
        <c:noMultiLvlLbl val="0"/>
      </c:catAx>
      <c:valAx>
        <c:axId val="4456038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US" sz="1400" b="1">
                    <a:solidFill>
                      <a:schemeClr val="tx1"/>
                    </a:solidFill>
                  </a:rPr>
                  <a:t>Fishery impact</a:t>
                </a:r>
                <a:r>
                  <a:rPr lang="en-US" sz="1400" b="1" baseline="0">
                    <a:solidFill>
                      <a:schemeClr val="tx1"/>
                    </a:solidFill>
                  </a:rPr>
                  <a:t> rates</a:t>
                </a:r>
              </a:p>
              <a:p>
                <a:pPr>
                  <a:defRPr sz="1400" b="1">
                    <a:solidFill>
                      <a:schemeClr val="tx1"/>
                    </a:solidFill>
                  </a:defRPr>
                </a:pPr>
                <a:r>
                  <a:rPr lang="en-US" sz="1400" b="1" baseline="0">
                    <a:solidFill>
                      <a:schemeClr val="tx1"/>
                    </a:solidFill>
                  </a:rPr>
                  <a:t>(wild fish)</a:t>
                </a:r>
                <a:endParaRPr lang="en-US" sz="1400" b="1">
                  <a:solidFill>
                    <a:schemeClr val="tx1"/>
                  </a:solidFill>
                </a:endParaRPr>
              </a:p>
            </c:rich>
          </c:tx>
          <c:layout>
            <c:manualLayout>
              <c:xMode val="edge"/>
              <c:yMode val="edge"/>
              <c:x val="9.0077398472155814E-3"/>
              <c:y val="0.1683483853655673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crossAx val="435743864"/>
        <c:crosses val="autoZero"/>
        <c:crossBetween val="between"/>
      </c:valAx>
      <c:spPr>
        <a:noFill/>
        <a:ln>
          <a:solidFill>
            <a:schemeClr val="tx1"/>
          </a:solidFill>
        </a:ln>
        <a:effectLst/>
      </c:spPr>
    </c:plotArea>
    <c:legend>
      <c:legendPos val="r"/>
      <c:layout>
        <c:manualLayout>
          <c:xMode val="edge"/>
          <c:yMode val="edge"/>
          <c:x val="0.3122523679105329"/>
          <c:y val="8.6340227671045058E-2"/>
          <c:w val="0.28161533966715002"/>
          <c:h val="0.19412473132216496"/>
        </c:manualLayout>
      </c:layout>
      <c:overlay val="0"/>
      <c:spPr>
        <a:solidFill>
          <a:schemeClr val="bg1"/>
        </a:solidFill>
        <a:ln>
          <a:solidFill>
            <a:schemeClr val="tx1"/>
          </a:solid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solidFill>
                  <a:schemeClr val="tx1"/>
                </a:solidFill>
              </a:rPr>
              <a:t>Current</a:t>
            </a:r>
            <a:r>
              <a:rPr lang="en-US" b="1" baseline="0">
                <a:solidFill>
                  <a:schemeClr val="tx1"/>
                </a:solidFill>
              </a:rPr>
              <a:t> Hatchery</a:t>
            </a:r>
          </a:p>
          <a:p>
            <a:pPr>
              <a:defRPr b="1">
                <a:solidFill>
                  <a:schemeClr val="tx1"/>
                </a:solidFill>
              </a:defRPr>
            </a:pPr>
            <a:r>
              <a:rPr lang="en-US" b="1" baseline="0">
                <a:solidFill>
                  <a:schemeClr val="tx1"/>
                </a:solidFill>
              </a:rPr>
              <a:t>Production (Smolts)</a:t>
            </a:r>
            <a:endParaRPr lang="en-US" b="1">
              <a:solidFill>
                <a:schemeClr val="tx1"/>
              </a:solidFill>
            </a:endParaRPr>
          </a:p>
        </c:rich>
      </c:tx>
      <c:layout>
        <c:manualLayout>
          <c:xMode val="edge"/>
          <c:yMode val="edge"/>
          <c:x val="2.0675936408488773E-2"/>
          <c:y val="2.434782497556430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pieChart>
        <c:varyColors val="1"/>
        <c:ser>
          <c:idx val="0"/>
          <c:order val="0"/>
          <c:spPr>
            <a:ln w="6350">
              <a:solidFill>
                <a:schemeClr val="tx1"/>
              </a:solidFill>
            </a:ln>
          </c:spPr>
          <c:dPt>
            <c:idx val="0"/>
            <c:bubble3D val="0"/>
            <c:spPr>
              <a:solidFill>
                <a:schemeClr val="accent1"/>
              </a:solidFill>
              <a:ln w="6350">
                <a:solidFill>
                  <a:schemeClr val="tx1"/>
                </a:solidFill>
              </a:ln>
              <a:effectLst/>
            </c:spPr>
            <c:extLst>
              <c:ext xmlns:c16="http://schemas.microsoft.com/office/drawing/2014/chart" uri="{C3380CC4-5D6E-409C-BE32-E72D297353CC}">
                <c16:uniqueId val="{00000001-6F1D-42AB-8168-A3DAAB887A17}"/>
              </c:ext>
            </c:extLst>
          </c:dPt>
          <c:dPt>
            <c:idx val="1"/>
            <c:bubble3D val="0"/>
            <c:spPr>
              <a:solidFill>
                <a:schemeClr val="accent2"/>
              </a:solidFill>
              <a:ln w="6350">
                <a:solidFill>
                  <a:schemeClr val="tx1"/>
                </a:solidFill>
              </a:ln>
              <a:effectLst/>
            </c:spPr>
            <c:extLst>
              <c:ext xmlns:c16="http://schemas.microsoft.com/office/drawing/2014/chart" uri="{C3380CC4-5D6E-409C-BE32-E72D297353CC}">
                <c16:uniqueId val="{00000003-6F1D-42AB-8168-A3DAAB887A17}"/>
              </c:ext>
            </c:extLst>
          </c:dPt>
          <c:dPt>
            <c:idx val="2"/>
            <c:bubble3D val="0"/>
            <c:spPr>
              <a:solidFill>
                <a:schemeClr val="accent3"/>
              </a:solidFill>
              <a:ln w="6350">
                <a:solidFill>
                  <a:schemeClr val="tx1"/>
                </a:solidFill>
              </a:ln>
              <a:effectLst/>
            </c:spPr>
            <c:extLst>
              <c:ext xmlns:c16="http://schemas.microsoft.com/office/drawing/2014/chart" uri="{C3380CC4-5D6E-409C-BE32-E72D297353CC}">
                <c16:uniqueId val="{00000005-6F1D-42AB-8168-A3DAAB887A17}"/>
              </c:ext>
            </c:extLst>
          </c:dPt>
          <c:dPt>
            <c:idx val="3"/>
            <c:bubble3D val="0"/>
            <c:spPr>
              <a:solidFill>
                <a:schemeClr val="accent4"/>
              </a:solidFill>
              <a:ln w="6350">
                <a:solidFill>
                  <a:schemeClr val="tx1"/>
                </a:solidFill>
              </a:ln>
              <a:effectLst/>
            </c:spPr>
            <c:extLst>
              <c:ext xmlns:c16="http://schemas.microsoft.com/office/drawing/2014/chart" uri="{C3380CC4-5D6E-409C-BE32-E72D297353CC}">
                <c16:uniqueId val="{00000007-6F1D-42AB-8168-A3DAAB887A17}"/>
              </c:ext>
            </c:extLst>
          </c:dPt>
          <c:dPt>
            <c:idx val="4"/>
            <c:bubble3D val="0"/>
            <c:spPr>
              <a:solidFill>
                <a:schemeClr val="accent5"/>
              </a:solidFill>
              <a:ln w="6350">
                <a:solidFill>
                  <a:schemeClr val="tx1"/>
                </a:solidFill>
              </a:ln>
              <a:effectLst/>
            </c:spPr>
            <c:extLst>
              <c:ext xmlns:c16="http://schemas.microsoft.com/office/drawing/2014/chart" uri="{C3380CC4-5D6E-409C-BE32-E72D297353CC}">
                <c16:uniqueId val="{00000009-6F1D-42AB-8168-A3DAAB887A17}"/>
              </c:ext>
            </c:extLst>
          </c:dPt>
          <c:dPt>
            <c:idx val="5"/>
            <c:bubble3D val="0"/>
            <c:spPr>
              <a:solidFill>
                <a:schemeClr val="accent6"/>
              </a:solidFill>
              <a:ln w="6350">
                <a:solidFill>
                  <a:schemeClr val="tx1"/>
                </a:solidFill>
              </a:ln>
              <a:effectLst/>
            </c:spPr>
            <c:extLst>
              <c:ext xmlns:c16="http://schemas.microsoft.com/office/drawing/2014/chart" uri="{C3380CC4-5D6E-409C-BE32-E72D297353CC}">
                <c16:uniqueId val="{0000000B-6F1D-42AB-8168-A3DAAB887A17}"/>
              </c:ext>
            </c:extLst>
          </c:dPt>
          <c:dPt>
            <c:idx val="6"/>
            <c:bubble3D val="0"/>
            <c:spPr>
              <a:solidFill>
                <a:schemeClr val="accent1">
                  <a:lumMod val="60000"/>
                </a:schemeClr>
              </a:solidFill>
              <a:ln w="6350">
                <a:solidFill>
                  <a:schemeClr val="tx1"/>
                </a:solidFill>
              </a:ln>
              <a:effectLst/>
            </c:spPr>
            <c:extLst>
              <c:ext xmlns:c16="http://schemas.microsoft.com/office/drawing/2014/chart" uri="{C3380CC4-5D6E-409C-BE32-E72D297353CC}">
                <c16:uniqueId val="{0000000D-6F1D-42AB-8168-A3DAAB887A17}"/>
              </c:ext>
            </c:extLst>
          </c:dPt>
          <c:dPt>
            <c:idx val="7"/>
            <c:bubble3D val="0"/>
            <c:spPr>
              <a:solidFill>
                <a:schemeClr val="accent2">
                  <a:lumMod val="60000"/>
                </a:schemeClr>
              </a:solidFill>
              <a:ln w="6350">
                <a:solidFill>
                  <a:schemeClr val="tx1"/>
                </a:solidFill>
              </a:ln>
              <a:effectLst/>
            </c:spPr>
            <c:extLst>
              <c:ext xmlns:c16="http://schemas.microsoft.com/office/drawing/2014/chart" uri="{C3380CC4-5D6E-409C-BE32-E72D297353CC}">
                <c16:uniqueId val="{0000000F-6F1D-42AB-8168-A3DAAB887A17}"/>
              </c:ext>
            </c:extLst>
          </c:dPt>
          <c:dLbls>
            <c:dLbl>
              <c:idx val="1"/>
              <c:layout>
                <c:manualLayout>
                  <c:x val="1.8343816270647264E-2"/>
                  <c:y val="-4.8695649951128614E-2"/>
                </c:manualLayout>
              </c:layout>
              <c:dLblPos val="bestFit"/>
              <c:showLegendKey val="0"/>
              <c:showVal val="1"/>
              <c:showCatName val="1"/>
              <c:showSerName val="0"/>
              <c:showPercent val="0"/>
              <c:showBubbleSize val="0"/>
              <c:extLst>
                <c:ext xmlns:c15="http://schemas.microsoft.com/office/drawing/2012/chart" uri="{CE6537A1-D6FC-4f65-9D91-7224C49458BB}">
                  <c15:layout>
                    <c:manualLayout>
                      <c:w val="0.27922957127179265"/>
                      <c:h val="0.21028404837229039"/>
                    </c:manualLayout>
                  </c15:layout>
                </c:ext>
                <c:ext xmlns:c16="http://schemas.microsoft.com/office/drawing/2014/chart" uri="{C3380CC4-5D6E-409C-BE32-E72D297353CC}">
                  <c16:uniqueId val="{00000003-6F1D-42AB-8168-A3DAAB887A17}"/>
                </c:ext>
              </c:extLst>
            </c:dLbl>
            <c:dLbl>
              <c:idx val="2"/>
              <c:layout>
                <c:manualLayout>
                  <c:x val="4.7693922303682891E-2"/>
                  <c:y val="4.46376791218678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1D-42AB-8168-A3DAAB887A17}"/>
                </c:ext>
              </c:extLst>
            </c:dLbl>
            <c:dLbl>
              <c:idx val="7"/>
              <c:layout>
                <c:manualLayout>
                  <c:x val="-9.1719081353236323E-2"/>
                  <c:y val="1.62318833170428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1D-42AB-8168-A3DAAB887A17}"/>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[1]Summary!$K$51:$K$58</c:f>
              <c:strCache>
                <c:ptCount val="8"/>
                <c:pt idx="0">
                  <c:v>Tucannon</c:v>
                </c:pt>
                <c:pt idx="1">
                  <c:v>Lyons Ferry/Irrigon/Wallowa</c:v>
                </c:pt>
                <c:pt idx="2">
                  <c:v>Irrigon-Imnaha</c:v>
                </c:pt>
                <c:pt idx="3">
                  <c:v>Dworshak</c:v>
                </c:pt>
                <c:pt idx="4">
                  <c:v>Clearwater</c:v>
                </c:pt>
                <c:pt idx="5">
                  <c:v>Hagerman</c:v>
                </c:pt>
                <c:pt idx="6">
                  <c:v>Magic Valley</c:v>
                </c:pt>
                <c:pt idx="7">
                  <c:v>Niagara Spr.</c:v>
                </c:pt>
              </c:strCache>
            </c:strRef>
          </c:cat>
          <c:val>
            <c:numRef>
              <c:f>[1]Summary!$O$51:$O$58</c:f>
              <c:numCache>
                <c:formatCode>General</c:formatCode>
                <c:ptCount val="8"/>
                <c:pt idx="0">
                  <c:v>100000</c:v>
                </c:pt>
                <c:pt idx="1">
                  <c:v>1160000</c:v>
                </c:pt>
                <c:pt idx="2">
                  <c:v>215000</c:v>
                </c:pt>
                <c:pt idx="3">
                  <c:v>2100000</c:v>
                </c:pt>
                <c:pt idx="4">
                  <c:v>843000</c:v>
                </c:pt>
                <c:pt idx="5">
                  <c:v>1560000</c:v>
                </c:pt>
                <c:pt idx="6">
                  <c:v>1550000</c:v>
                </c:pt>
                <c:pt idx="7">
                  <c:v>1800000</c:v>
                </c:pt>
              </c:numCache>
            </c:numRef>
          </c:val>
          <c:extLst>
            <c:ext xmlns:c16="http://schemas.microsoft.com/office/drawing/2014/chart" uri="{C3380CC4-5D6E-409C-BE32-E72D297353CC}">
              <c16:uniqueId val="{00000010-6F1D-42AB-8168-A3DAAB887A17}"/>
            </c:ext>
          </c:extLst>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813648293963254"/>
          <c:y val="2.7777777777777776E-2"/>
          <c:w val="0.72920756780402451"/>
          <c:h val="0.81389690871974341"/>
        </c:manualLayout>
      </c:layout>
      <c:barChart>
        <c:barDir val="col"/>
        <c:grouping val="stacked"/>
        <c:varyColors val="0"/>
        <c:ser>
          <c:idx val="0"/>
          <c:order val="0"/>
          <c:tx>
            <c:v>Wild</c:v>
          </c:tx>
          <c:spPr>
            <a:solidFill>
              <a:schemeClr val="accent6">
                <a:lumMod val="60000"/>
                <a:lumOff val="40000"/>
              </a:schemeClr>
            </a:solidFill>
            <a:ln>
              <a:solidFill>
                <a:schemeClr val="tx1"/>
              </a:solidFill>
            </a:ln>
            <a:effectLst/>
          </c:spPr>
          <c:invertIfNegative val="0"/>
          <c:cat>
            <c:numRef>
              <c:f>[1]Run!$R$7:$R$31</c:f>
              <c:numCache>
                <c:formatCode>General</c:formatCode>
                <c:ptCount val="25"/>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numCache>
            </c:numRef>
          </c:cat>
          <c:val>
            <c:numRef>
              <c:f>[1]Run!$P$7:$P$31</c:f>
              <c:numCache>
                <c:formatCode>General</c:formatCode>
                <c:ptCount val="25"/>
                <c:pt idx="0">
                  <c:v>17317</c:v>
                </c:pt>
                <c:pt idx="1">
                  <c:v>19394</c:v>
                </c:pt>
                <c:pt idx="2">
                  <c:v>9122</c:v>
                </c:pt>
                <c:pt idx="3">
                  <c:v>8104</c:v>
                </c:pt>
                <c:pt idx="4">
                  <c:v>8055</c:v>
                </c:pt>
                <c:pt idx="5">
                  <c:v>7625</c:v>
                </c:pt>
                <c:pt idx="6">
                  <c:v>8749</c:v>
                </c:pt>
                <c:pt idx="7">
                  <c:v>9375</c:v>
                </c:pt>
                <c:pt idx="8">
                  <c:v>11098</c:v>
                </c:pt>
                <c:pt idx="9">
                  <c:v>20575</c:v>
                </c:pt>
                <c:pt idx="10">
                  <c:v>40719</c:v>
                </c:pt>
                <c:pt idx="11">
                  <c:v>41931</c:v>
                </c:pt>
                <c:pt idx="12">
                  <c:v>29146</c:v>
                </c:pt>
                <c:pt idx="13">
                  <c:v>23071</c:v>
                </c:pt>
                <c:pt idx="14">
                  <c:v>18130</c:v>
                </c:pt>
                <c:pt idx="15">
                  <c:v>9510</c:v>
                </c:pt>
                <c:pt idx="16">
                  <c:v>14166</c:v>
                </c:pt>
                <c:pt idx="17">
                  <c:v>23876</c:v>
                </c:pt>
                <c:pt idx="18">
                  <c:v>42739</c:v>
                </c:pt>
                <c:pt idx="19">
                  <c:v>44133</c:v>
                </c:pt>
                <c:pt idx="20">
                  <c:v>39439</c:v>
                </c:pt>
                <c:pt idx="21">
                  <c:v>23143</c:v>
                </c:pt>
                <c:pt idx="22">
                  <c:v>25355</c:v>
                </c:pt>
                <c:pt idx="23">
                  <c:v>48108</c:v>
                </c:pt>
                <c:pt idx="24">
                  <c:v>36776</c:v>
                </c:pt>
              </c:numCache>
            </c:numRef>
          </c:val>
          <c:extLst>
            <c:ext xmlns:c16="http://schemas.microsoft.com/office/drawing/2014/chart" uri="{C3380CC4-5D6E-409C-BE32-E72D297353CC}">
              <c16:uniqueId val="{00000000-1971-4044-BD9F-6BB8372AACA9}"/>
            </c:ext>
          </c:extLst>
        </c:ser>
        <c:ser>
          <c:idx val="1"/>
          <c:order val="1"/>
          <c:tx>
            <c:v>Hatchery</c:v>
          </c:tx>
          <c:spPr>
            <a:solidFill>
              <a:schemeClr val="accent1">
                <a:lumMod val="60000"/>
                <a:lumOff val="40000"/>
              </a:schemeClr>
            </a:solidFill>
            <a:ln>
              <a:solidFill>
                <a:schemeClr val="tx1"/>
              </a:solidFill>
            </a:ln>
            <a:effectLst/>
          </c:spPr>
          <c:invertIfNegative val="0"/>
          <c:cat>
            <c:numRef>
              <c:f>[1]Run!$R$7:$R$31</c:f>
              <c:numCache>
                <c:formatCode>General</c:formatCode>
                <c:ptCount val="25"/>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numCache>
            </c:numRef>
          </c:cat>
          <c:val>
            <c:numRef>
              <c:f>[1]Run!$M$7:$M$31</c:f>
              <c:numCache>
                <c:formatCode>General</c:formatCode>
                <c:ptCount val="25"/>
                <c:pt idx="0">
                  <c:v>81768</c:v>
                </c:pt>
                <c:pt idx="1">
                  <c:v>108986</c:v>
                </c:pt>
                <c:pt idx="2">
                  <c:v>50552</c:v>
                </c:pt>
                <c:pt idx="3">
                  <c:v>39134</c:v>
                </c:pt>
                <c:pt idx="4">
                  <c:v>71090</c:v>
                </c:pt>
                <c:pt idx="5">
                  <c:v>79286</c:v>
                </c:pt>
                <c:pt idx="6">
                  <c:v>77897</c:v>
                </c:pt>
                <c:pt idx="7">
                  <c:v>61287</c:v>
                </c:pt>
                <c:pt idx="8">
                  <c:v>62953</c:v>
                </c:pt>
                <c:pt idx="9">
                  <c:v>96727</c:v>
                </c:pt>
                <c:pt idx="10">
                  <c:v>227747</c:v>
                </c:pt>
                <c:pt idx="11">
                  <c:v>180245</c:v>
                </c:pt>
                <c:pt idx="12">
                  <c:v>143364</c:v>
                </c:pt>
                <c:pt idx="13">
                  <c:v>128575</c:v>
                </c:pt>
                <c:pt idx="14">
                  <c:v>140035</c:v>
                </c:pt>
                <c:pt idx="15">
                  <c:v>139656</c:v>
                </c:pt>
                <c:pt idx="16">
                  <c:v>140976</c:v>
                </c:pt>
                <c:pt idx="17">
                  <c:v>154994</c:v>
                </c:pt>
                <c:pt idx="18">
                  <c:v>280643</c:v>
                </c:pt>
                <c:pt idx="19">
                  <c:v>164163</c:v>
                </c:pt>
                <c:pt idx="20">
                  <c:v>140881</c:v>
                </c:pt>
                <c:pt idx="21">
                  <c:v>86043</c:v>
                </c:pt>
                <c:pt idx="22">
                  <c:v>82799</c:v>
                </c:pt>
                <c:pt idx="23">
                  <c:v>116360</c:v>
                </c:pt>
                <c:pt idx="24">
                  <c:v>99373</c:v>
                </c:pt>
              </c:numCache>
            </c:numRef>
          </c:val>
          <c:extLst>
            <c:ext xmlns:c16="http://schemas.microsoft.com/office/drawing/2014/chart" uri="{C3380CC4-5D6E-409C-BE32-E72D297353CC}">
              <c16:uniqueId val="{00000001-1971-4044-BD9F-6BB8372AACA9}"/>
            </c:ext>
          </c:extLst>
        </c:ser>
        <c:dLbls>
          <c:showLegendKey val="0"/>
          <c:showVal val="0"/>
          <c:showCatName val="0"/>
          <c:showSerName val="0"/>
          <c:showPercent val="0"/>
          <c:showBubbleSize val="0"/>
        </c:dLbls>
        <c:gapWidth val="14"/>
        <c:overlap val="100"/>
        <c:axId val="440397960"/>
        <c:axId val="440398352"/>
      </c:barChart>
      <c:catAx>
        <c:axId val="440397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440398352"/>
        <c:crosses val="autoZero"/>
        <c:auto val="1"/>
        <c:lblAlgn val="ctr"/>
        <c:lblOffset val="100"/>
        <c:noMultiLvlLbl val="0"/>
      </c:catAx>
      <c:valAx>
        <c:axId val="440398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a:t>Return to Lower Granite Dam</a:t>
                </a:r>
              </a:p>
            </c:rich>
          </c:tx>
          <c:layout>
            <c:manualLayout>
              <c:xMode val="edge"/>
              <c:yMode val="edge"/>
              <c:x val="7.7637795275590548E-3"/>
              <c:y val="0.16043197725284336"/>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440397960"/>
        <c:crosses val="autoZero"/>
        <c:crossBetween val="between"/>
      </c:valAx>
      <c:spPr>
        <a:noFill/>
        <a:ln>
          <a:noFill/>
        </a:ln>
        <a:effectLst/>
      </c:spPr>
    </c:plotArea>
    <c:legend>
      <c:legendPos val="r"/>
      <c:layout>
        <c:manualLayout>
          <c:xMode val="edge"/>
          <c:yMode val="edge"/>
          <c:x val="0.16743985126859148"/>
          <c:y val="0.11631889763779529"/>
          <c:w val="0.13811570428696412"/>
          <c:h val="0.15625109361329836"/>
        </c:manualLayout>
      </c:layout>
      <c:overlay val="0"/>
      <c:spPr>
        <a:solidFill>
          <a:schemeClr val="bg1"/>
        </a:solidFill>
        <a:ln>
          <a:solidFill>
            <a:schemeClr val="tx1"/>
          </a:solid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114529613510772"/>
          <c:y val="5.8572949946751864E-2"/>
          <c:w val="0.77956822889151622"/>
          <c:h val="0.81790059788852276"/>
        </c:manualLayout>
      </c:layout>
      <c:barChart>
        <c:barDir val="col"/>
        <c:grouping val="stacked"/>
        <c:varyColors val="0"/>
        <c:ser>
          <c:idx val="0"/>
          <c:order val="0"/>
          <c:tx>
            <c:v>CR Treaty</c:v>
          </c:tx>
          <c:spPr>
            <a:solidFill>
              <a:schemeClr val="accent1"/>
            </a:solidFill>
            <a:ln>
              <a:solidFill>
                <a:schemeClr val="tx1"/>
              </a:solidFill>
            </a:ln>
            <a:effectLst/>
          </c:spPr>
          <c:invertIfNegative val="0"/>
          <c:cat>
            <c:strRef>
              <c:f>[1]Run!$AY$32:$AY$33</c:f>
              <c:strCache>
                <c:ptCount val="2"/>
                <c:pt idx="0">
                  <c:v>A-index</c:v>
                </c:pt>
                <c:pt idx="1">
                  <c:v>B-index</c:v>
                </c:pt>
              </c:strCache>
            </c:strRef>
          </c:cat>
          <c:val>
            <c:numRef>
              <c:f>[1]Run!$BA$32:$BA$33</c:f>
              <c:numCache>
                <c:formatCode>General</c:formatCode>
                <c:ptCount val="2"/>
                <c:pt idx="0">
                  <c:v>6.2700000000000006E-2</c:v>
                </c:pt>
                <c:pt idx="1">
                  <c:v>0.16850000000000001</c:v>
                </c:pt>
              </c:numCache>
            </c:numRef>
          </c:val>
          <c:extLst>
            <c:ext xmlns:c16="http://schemas.microsoft.com/office/drawing/2014/chart" uri="{C3380CC4-5D6E-409C-BE32-E72D297353CC}">
              <c16:uniqueId val="{00000000-4B39-4FC2-93F9-BADB14AE4B7E}"/>
            </c:ext>
          </c:extLst>
        </c:ser>
        <c:ser>
          <c:idx val="1"/>
          <c:order val="1"/>
          <c:tx>
            <c:v>CR Non-Treaty</c:v>
          </c:tx>
          <c:spPr>
            <a:solidFill>
              <a:schemeClr val="accent6">
                <a:lumMod val="60000"/>
                <a:lumOff val="40000"/>
              </a:schemeClr>
            </a:solidFill>
            <a:ln>
              <a:solidFill>
                <a:schemeClr val="tx1"/>
              </a:solidFill>
            </a:ln>
            <a:effectLst/>
          </c:spPr>
          <c:invertIfNegative val="0"/>
          <c:cat>
            <c:strRef>
              <c:f>[1]Run!$AY$32:$AY$33</c:f>
              <c:strCache>
                <c:ptCount val="2"/>
                <c:pt idx="0">
                  <c:v>A-index</c:v>
                </c:pt>
                <c:pt idx="1">
                  <c:v>B-index</c:v>
                </c:pt>
              </c:strCache>
            </c:strRef>
          </c:cat>
          <c:val>
            <c:numRef>
              <c:f>[1]Run!$AZ$32:$AZ$33</c:f>
              <c:numCache>
                <c:formatCode>General</c:formatCode>
                <c:ptCount val="2"/>
                <c:pt idx="0">
                  <c:v>1.2E-2</c:v>
                </c:pt>
                <c:pt idx="1">
                  <c:v>0.02</c:v>
                </c:pt>
              </c:numCache>
            </c:numRef>
          </c:val>
          <c:extLst>
            <c:ext xmlns:c16="http://schemas.microsoft.com/office/drawing/2014/chart" uri="{C3380CC4-5D6E-409C-BE32-E72D297353CC}">
              <c16:uniqueId val="{00000001-4B39-4FC2-93F9-BADB14AE4B7E}"/>
            </c:ext>
          </c:extLst>
        </c:ser>
        <c:ser>
          <c:idx val="2"/>
          <c:order val="2"/>
          <c:tx>
            <c:v>Terminal</c:v>
          </c:tx>
          <c:spPr>
            <a:solidFill>
              <a:schemeClr val="accent3"/>
            </a:solidFill>
            <a:ln>
              <a:noFill/>
            </a:ln>
            <a:effectLst/>
          </c:spPr>
          <c:invertIfNegative val="0"/>
          <c:val>
            <c:numRef>
              <c:f>[1]Run!$BB$32:$BB$33</c:f>
              <c:numCache>
                <c:formatCode>General</c:formatCode>
                <c:ptCount val="2"/>
              </c:numCache>
            </c:numRef>
          </c:val>
          <c:extLst>
            <c:ext xmlns:c16="http://schemas.microsoft.com/office/drawing/2014/chart" uri="{C3380CC4-5D6E-409C-BE32-E72D297353CC}">
              <c16:uniqueId val="{00000002-4B39-4FC2-93F9-BADB14AE4B7E}"/>
            </c:ext>
          </c:extLst>
        </c:ser>
        <c:dLbls>
          <c:showLegendKey val="0"/>
          <c:showVal val="0"/>
          <c:showCatName val="0"/>
          <c:showSerName val="0"/>
          <c:showPercent val="0"/>
          <c:showBubbleSize val="0"/>
        </c:dLbls>
        <c:gapWidth val="38"/>
        <c:overlap val="100"/>
        <c:axId val="440399136"/>
        <c:axId val="436397840"/>
      </c:barChart>
      <c:catAx>
        <c:axId val="44039913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436397840"/>
        <c:crosses val="autoZero"/>
        <c:auto val="1"/>
        <c:lblAlgn val="ctr"/>
        <c:lblOffset val="100"/>
        <c:noMultiLvlLbl val="0"/>
      </c:catAx>
      <c:valAx>
        <c:axId val="436397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Fishery impact</a:t>
                </a:r>
                <a:r>
                  <a:rPr lang="en-US" sz="1200" b="1" baseline="0"/>
                  <a:t> rates </a:t>
                </a:r>
              </a:p>
              <a:p>
                <a:pPr>
                  <a:defRPr sz="1200" b="1"/>
                </a:pPr>
                <a:r>
                  <a:rPr lang="en-US" sz="1200" b="1" baseline="0"/>
                  <a:t>(wild fish)</a:t>
                </a:r>
                <a:endParaRPr lang="en-US" sz="1200" b="1"/>
              </a:p>
            </c:rich>
          </c:tx>
          <c:layout>
            <c:manualLayout>
              <c:xMode val="edge"/>
              <c:yMode val="edge"/>
              <c:x val="9.0077398472155814E-3"/>
              <c:y val="0.16834838536556732"/>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440399136"/>
        <c:crosses val="autoZero"/>
        <c:crossBetween val="between"/>
      </c:valAx>
      <c:spPr>
        <a:noFill/>
        <a:ln>
          <a:noFill/>
        </a:ln>
        <a:effectLst/>
      </c:spPr>
    </c:plotArea>
    <c:legend>
      <c:legendPos val="r"/>
      <c:layout>
        <c:manualLayout>
          <c:xMode val="edge"/>
          <c:yMode val="edge"/>
          <c:x val="0.26770018364317877"/>
          <c:y val="8.8324402740392313E-2"/>
          <c:w val="0.18384401230996289"/>
          <c:h val="0.26957057684083419"/>
        </c:manualLayout>
      </c:layout>
      <c:overlay val="0"/>
      <c:spPr>
        <a:solidFill>
          <a:schemeClr val="bg1"/>
        </a:solidFill>
        <a:ln>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solidFill>
                  <a:schemeClr val="tx1"/>
                </a:solidFill>
              </a:rPr>
              <a:t>Fishery Distribution </a:t>
            </a:r>
          </a:p>
          <a:p>
            <a:pPr>
              <a:defRPr b="1">
                <a:solidFill>
                  <a:schemeClr val="tx1"/>
                </a:solidFill>
              </a:defRPr>
            </a:pPr>
            <a:r>
              <a:rPr lang="en-US" sz="1400" b="1">
                <a:solidFill>
                  <a:schemeClr val="tx1"/>
                </a:solidFill>
              </a:rPr>
              <a:t>Hatchery &amp; Wild Combined</a:t>
            </a:r>
          </a:p>
          <a:p>
            <a:pPr>
              <a:defRPr b="1">
                <a:solidFill>
                  <a:schemeClr val="tx1"/>
                </a:solidFill>
              </a:defRPr>
            </a:pPr>
            <a:r>
              <a:rPr lang="en-US" sz="1400" b="1">
                <a:solidFill>
                  <a:schemeClr val="tx1"/>
                </a:solidFill>
              </a:rPr>
              <a:t>2007-2016 avg.</a:t>
            </a:r>
          </a:p>
        </c:rich>
      </c:tx>
      <c:layout>
        <c:manualLayout>
          <c:xMode val="edge"/>
          <c:yMode val="edge"/>
          <c:x val="1.5020778652668416E-2"/>
          <c:y val="2.777777777777777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26119452665104431"/>
          <c:y val="0.23764030342090703"/>
          <c:w val="0.57351791303219113"/>
          <c:h val="0.70510715892869824"/>
        </c:manualLayout>
      </c:layout>
      <c:pieChart>
        <c:varyColors val="1"/>
        <c:ser>
          <c:idx val="0"/>
          <c:order val="0"/>
          <c:spPr>
            <a:ln w="12700">
              <a:solidFill>
                <a:schemeClr val="tx1"/>
              </a:solidFill>
            </a:ln>
          </c:spPr>
          <c:dPt>
            <c:idx val="0"/>
            <c:bubble3D val="0"/>
            <c:spPr>
              <a:solidFill>
                <a:schemeClr val="accent1"/>
              </a:solidFill>
              <a:ln w="12700">
                <a:solidFill>
                  <a:schemeClr val="tx1"/>
                </a:solidFill>
              </a:ln>
              <a:effectLst/>
            </c:spPr>
            <c:extLst>
              <c:ext xmlns:c16="http://schemas.microsoft.com/office/drawing/2014/chart" uri="{C3380CC4-5D6E-409C-BE32-E72D297353CC}">
                <c16:uniqueId val="{00000001-6D3D-4BAE-9364-557278690399}"/>
              </c:ext>
            </c:extLst>
          </c:dPt>
          <c:dPt>
            <c:idx val="1"/>
            <c:bubble3D val="0"/>
            <c:spPr>
              <a:solidFill>
                <a:schemeClr val="accent1">
                  <a:lumMod val="20000"/>
                  <a:lumOff val="80000"/>
                </a:schemeClr>
              </a:solidFill>
              <a:ln w="12700">
                <a:solidFill>
                  <a:schemeClr val="tx1"/>
                </a:solidFill>
              </a:ln>
              <a:effectLst/>
            </c:spPr>
            <c:extLst>
              <c:ext xmlns:c16="http://schemas.microsoft.com/office/drawing/2014/chart" uri="{C3380CC4-5D6E-409C-BE32-E72D297353CC}">
                <c16:uniqueId val="{00000003-6D3D-4BAE-9364-557278690399}"/>
              </c:ext>
            </c:extLst>
          </c:dPt>
          <c:dPt>
            <c:idx val="2"/>
            <c:bubble3D val="0"/>
            <c:spPr>
              <a:solidFill>
                <a:schemeClr val="accent6">
                  <a:lumMod val="60000"/>
                  <a:lumOff val="40000"/>
                </a:schemeClr>
              </a:solidFill>
              <a:ln w="12700">
                <a:solidFill>
                  <a:schemeClr val="tx1"/>
                </a:solidFill>
              </a:ln>
              <a:effectLst/>
            </c:spPr>
            <c:extLst>
              <c:ext xmlns:c16="http://schemas.microsoft.com/office/drawing/2014/chart" uri="{C3380CC4-5D6E-409C-BE32-E72D297353CC}">
                <c16:uniqueId val="{00000005-6D3D-4BAE-9364-557278690399}"/>
              </c:ext>
            </c:extLst>
          </c:dPt>
          <c:dLbls>
            <c:dLbl>
              <c:idx val="0"/>
              <c:layout>
                <c:manualLayout>
                  <c:x val="-3.7318153702124851E-2"/>
                  <c:y val="-1.275627004957713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3D-4BAE-9364-557278690399}"/>
                </c:ext>
              </c:extLst>
            </c:dLbl>
            <c:dLbl>
              <c:idx val="1"/>
              <c:layout>
                <c:manualLayout>
                  <c:x val="0.43137376076682432"/>
                  <c:y val="2.0446852938018595E-2"/>
                </c:manualLayout>
              </c:layout>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tx1"/>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7191249628071973"/>
                      <c:h val="0.17554949423003921"/>
                    </c:manualLayout>
                  </c15:layout>
                </c:ext>
                <c:ext xmlns:c16="http://schemas.microsoft.com/office/drawing/2014/chart" uri="{C3380CC4-5D6E-409C-BE32-E72D297353CC}">
                  <c16:uniqueId val="{00000003-6D3D-4BAE-9364-557278690399}"/>
                </c:ext>
              </c:extLst>
            </c:dLbl>
            <c:dLbl>
              <c:idx val="2"/>
              <c:layout>
                <c:manualLayout>
                  <c:x val="7.1396337171315147E-2"/>
                  <c:y val="-3.662893951119184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3D-4BAE-9364-557278690399}"/>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en-US"/>
              </a:p>
            </c:txPr>
            <c:showLegendKey val="0"/>
            <c:showVal val="1"/>
            <c:showCatName val="1"/>
            <c:showSerName val="0"/>
            <c:showPercent val="0"/>
            <c:showBubbleSize val="0"/>
            <c:showLeaderLines val="1"/>
            <c:leaderLines>
              <c:spPr>
                <a:ln w="25400" cap="flat" cmpd="sng" algn="ctr">
                  <a:solidFill>
                    <a:schemeClr val="tx1"/>
                  </a:solidFill>
                  <a:round/>
                </a:ln>
                <a:effectLst/>
              </c:spPr>
            </c:leaderLines>
            <c:extLst>
              <c:ext xmlns:c15="http://schemas.microsoft.com/office/drawing/2012/chart" uri="{CE6537A1-D6FC-4f65-9D91-7224C49458BB}"/>
            </c:extLst>
          </c:dLbls>
          <c:cat>
            <c:strRef>
              <c:f>[2]Run!$Q$6:$S$6</c:f>
              <c:strCache>
                <c:ptCount val="3"/>
                <c:pt idx="0">
                  <c:v>Non-treaty Comm</c:v>
                </c:pt>
                <c:pt idx="1">
                  <c:v>Non-treaty Sport</c:v>
                </c:pt>
                <c:pt idx="2">
                  <c:v>Treaty</c:v>
                </c:pt>
              </c:strCache>
            </c:strRef>
          </c:cat>
          <c:val>
            <c:numRef>
              <c:f>[2]Run!$Q$44:$S$44</c:f>
              <c:numCache>
                <c:formatCode>General</c:formatCode>
                <c:ptCount val="3"/>
                <c:pt idx="0">
                  <c:v>2.2447712514009541E-2</c:v>
                </c:pt>
                <c:pt idx="1">
                  <c:v>7.2360714765767511E-2</c:v>
                </c:pt>
                <c:pt idx="2">
                  <c:v>9.3193692151671448E-2</c:v>
                </c:pt>
              </c:numCache>
            </c:numRef>
          </c:val>
          <c:extLst>
            <c:ext xmlns:c16="http://schemas.microsoft.com/office/drawing/2014/chart" uri="{C3380CC4-5D6E-409C-BE32-E72D297353CC}">
              <c16:uniqueId val="{00000006-6D3D-4BAE-9364-557278690399}"/>
            </c:ext>
          </c:extLst>
        </c:ser>
        <c:dLbls>
          <c:showLegendKey val="0"/>
          <c:showVal val="1"/>
          <c:showCatName val="0"/>
          <c:showSerName val="0"/>
          <c:showPercent val="0"/>
          <c:showBubbleSize val="0"/>
          <c:showLeaderLines val="1"/>
        </c:dLbls>
        <c:firstSliceAng val="236"/>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solidFill>
                  <a:schemeClr val="tx1"/>
                </a:solidFill>
              </a:rPr>
              <a:t>Hatchery Production by release site (smolts)</a:t>
            </a:r>
          </a:p>
        </c:rich>
      </c:tx>
      <c:layout>
        <c:manualLayout>
          <c:xMode val="edge"/>
          <c:yMode val="edge"/>
          <c:x val="0.13475207778658677"/>
          <c:y val="1.933968527783970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pieChart>
        <c:varyColors val="1"/>
        <c:ser>
          <c:idx val="0"/>
          <c:order val="0"/>
          <c:spPr>
            <a:ln w="6350">
              <a:solidFill>
                <a:schemeClr val="tx1"/>
              </a:solidFill>
            </a:ln>
          </c:spPr>
          <c:dPt>
            <c:idx val="0"/>
            <c:bubble3D val="0"/>
            <c:spPr>
              <a:solidFill>
                <a:schemeClr val="accent1"/>
              </a:solidFill>
              <a:ln w="6350">
                <a:solidFill>
                  <a:schemeClr val="tx1"/>
                </a:solidFill>
              </a:ln>
              <a:effectLst/>
            </c:spPr>
            <c:extLst>
              <c:ext xmlns:c16="http://schemas.microsoft.com/office/drawing/2014/chart" uri="{C3380CC4-5D6E-409C-BE32-E72D297353CC}">
                <c16:uniqueId val="{00000001-BDF3-4BC9-A2A3-2DE27166564B}"/>
              </c:ext>
            </c:extLst>
          </c:dPt>
          <c:dPt>
            <c:idx val="1"/>
            <c:bubble3D val="0"/>
            <c:spPr>
              <a:solidFill>
                <a:schemeClr val="accent2"/>
              </a:solidFill>
              <a:ln w="6350">
                <a:solidFill>
                  <a:schemeClr val="tx1"/>
                </a:solidFill>
              </a:ln>
              <a:effectLst/>
            </c:spPr>
            <c:extLst>
              <c:ext xmlns:c16="http://schemas.microsoft.com/office/drawing/2014/chart" uri="{C3380CC4-5D6E-409C-BE32-E72D297353CC}">
                <c16:uniqueId val="{00000003-BDF3-4BC9-A2A3-2DE27166564B}"/>
              </c:ext>
            </c:extLst>
          </c:dPt>
          <c:dPt>
            <c:idx val="2"/>
            <c:bubble3D val="0"/>
            <c:spPr>
              <a:solidFill>
                <a:schemeClr val="accent3"/>
              </a:solidFill>
              <a:ln w="6350">
                <a:solidFill>
                  <a:schemeClr val="tx1"/>
                </a:solidFill>
              </a:ln>
              <a:effectLst/>
            </c:spPr>
            <c:extLst>
              <c:ext xmlns:c16="http://schemas.microsoft.com/office/drawing/2014/chart" uri="{C3380CC4-5D6E-409C-BE32-E72D297353CC}">
                <c16:uniqueId val="{00000005-BDF3-4BC9-A2A3-2DE27166564B}"/>
              </c:ext>
            </c:extLst>
          </c:dPt>
          <c:dPt>
            <c:idx val="3"/>
            <c:bubble3D val="0"/>
            <c:spPr>
              <a:solidFill>
                <a:schemeClr val="accent4"/>
              </a:solidFill>
              <a:ln w="6350">
                <a:solidFill>
                  <a:schemeClr val="tx1"/>
                </a:solidFill>
              </a:ln>
              <a:effectLst/>
            </c:spPr>
            <c:extLst>
              <c:ext xmlns:c16="http://schemas.microsoft.com/office/drawing/2014/chart" uri="{C3380CC4-5D6E-409C-BE32-E72D297353CC}">
                <c16:uniqueId val="{00000007-BDF3-4BC9-A2A3-2DE27166564B}"/>
              </c:ext>
            </c:extLst>
          </c:dPt>
          <c:dPt>
            <c:idx val="4"/>
            <c:bubble3D val="0"/>
            <c:spPr>
              <a:solidFill>
                <a:schemeClr val="accent5"/>
              </a:solidFill>
              <a:ln w="6350">
                <a:solidFill>
                  <a:schemeClr val="tx1"/>
                </a:solidFill>
              </a:ln>
              <a:effectLst/>
            </c:spPr>
            <c:extLst>
              <c:ext xmlns:c16="http://schemas.microsoft.com/office/drawing/2014/chart" uri="{C3380CC4-5D6E-409C-BE32-E72D297353CC}">
                <c16:uniqueId val="{00000009-BDF3-4BC9-A2A3-2DE27166564B}"/>
              </c:ext>
            </c:extLst>
          </c:dPt>
          <c:dPt>
            <c:idx val="5"/>
            <c:bubble3D val="0"/>
            <c:spPr>
              <a:solidFill>
                <a:schemeClr val="accent6"/>
              </a:solidFill>
              <a:ln w="6350">
                <a:solidFill>
                  <a:schemeClr val="tx1"/>
                </a:solidFill>
              </a:ln>
              <a:effectLst/>
            </c:spPr>
            <c:extLst>
              <c:ext xmlns:c16="http://schemas.microsoft.com/office/drawing/2014/chart" uri="{C3380CC4-5D6E-409C-BE32-E72D297353CC}">
                <c16:uniqueId val="{0000000B-BDF3-4BC9-A2A3-2DE27166564B}"/>
              </c:ext>
            </c:extLst>
          </c:dPt>
          <c:dPt>
            <c:idx val="6"/>
            <c:bubble3D val="0"/>
            <c:spPr>
              <a:solidFill>
                <a:schemeClr val="accent1">
                  <a:lumMod val="60000"/>
                </a:schemeClr>
              </a:solidFill>
              <a:ln w="6350">
                <a:solidFill>
                  <a:schemeClr val="tx1"/>
                </a:solidFill>
              </a:ln>
              <a:effectLst/>
            </c:spPr>
            <c:extLst>
              <c:ext xmlns:c16="http://schemas.microsoft.com/office/drawing/2014/chart" uri="{C3380CC4-5D6E-409C-BE32-E72D297353CC}">
                <c16:uniqueId val="{0000000D-BDF3-4BC9-A2A3-2DE27166564B}"/>
              </c:ext>
            </c:extLst>
          </c:dPt>
          <c:dPt>
            <c:idx val="7"/>
            <c:bubble3D val="0"/>
            <c:spPr>
              <a:solidFill>
                <a:schemeClr val="accent2">
                  <a:lumMod val="60000"/>
                </a:schemeClr>
              </a:solidFill>
              <a:ln w="6350">
                <a:solidFill>
                  <a:schemeClr val="tx1"/>
                </a:solidFill>
              </a:ln>
              <a:effectLst/>
            </c:spPr>
            <c:extLst>
              <c:ext xmlns:c16="http://schemas.microsoft.com/office/drawing/2014/chart" uri="{C3380CC4-5D6E-409C-BE32-E72D297353CC}">
                <c16:uniqueId val="{0000000F-BDF3-4BC9-A2A3-2DE27166564B}"/>
              </c:ext>
            </c:extLst>
          </c:dPt>
          <c:dPt>
            <c:idx val="8"/>
            <c:bubble3D val="0"/>
            <c:spPr>
              <a:solidFill>
                <a:schemeClr val="accent3">
                  <a:lumMod val="60000"/>
                </a:schemeClr>
              </a:solidFill>
              <a:ln w="6350">
                <a:solidFill>
                  <a:schemeClr val="tx1"/>
                </a:solidFill>
              </a:ln>
              <a:effectLst/>
            </c:spPr>
            <c:extLst>
              <c:ext xmlns:c16="http://schemas.microsoft.com/office/drawing/2014/chart" uri="{C3380CC4-5D6E-409C-BE32-E72D297353CC}">
                <c16:uniqueId val="{00000011-BDF3-4BC9-A2A3-2DE27166564B}"/>
              </c:ext>
            </c:extLst>
          </c:dPt>
          <c:dPt>
            <c:idx val="9"/>
            <c:bubble3D val="0"/>
            <c:spPr>
              <a:solidFill>
                <a:schemeClr val="accent4">
                  <a:lumMod val="60000"/>
                </a:schemeClr>
              </a:solidFill>
              <a:ln w="6350">
                <a:solidFill>
                  <a:schemeClr val="tx1"/>
                </a:solidFill>
              </a:ln>
              <a:effectLst/>
            </c:spPr>
            <c:extLst>
              <c:ext xmlns:c16="http://schemas.microsoft.com/office/drawing/2014/chart" uri="{C3380CC4-5D6E-409C-BE32-E72D297353CC}">
                <c16:uniqueId val="{00000013-BDF3-4BC9-A2A3-2DE27166564B}"/>
              </c:ext>
            </c:extLst>
          </c:dPt>
          <c:dPt>
            <c:idx val="10"/>
            <c:bubble3D val="0"/>
            <c:spPr>
              <a:solidFill>
                <a:schemeClr val="accent5">
                  <a:lumMod val="60000"/>
                </a:schemeClr>
              </a:solidFill>
              <a:ln w="6350">
                <a:solidFill>
                  <a:schemeClr val="tx1"/>
                </a:solidFill>
              </a:ln>
              <a:effectLst/>
            </c:spPr>
            <c:extLst>
              <c:ext xmlns:c16="http://schemas.microsoft.com/office/drawing/2014/chart" uri="{C3380CC4-5D6E-409C-BE32-E72D297353CC}">
                <c16:uniqueId val="{00000015-BDF3-4BC9-A2A3-2DE27166564B}"/>
              </c:ext>
            </c:extLst>
          </c:dPt>
          <c:dPt>
            <c:idx val="11"/>
            <c:bubble3D val="0"/>
            <c:spPr>
              <a:solidFill>
                <a:schemeClr val="accent6">
                  <a:lumMod val="60000"/>
                </a:schemeClr>
              </a:solidFill>
              <a:ln w="6350">
                <a:solidFill>
                  <a:schemeClr val="tx1"/>
                </a:solidFill>
              </a:ln>
              <a:effectLst/>
            </c:spPr>
            <c:extLst>
              <c:ext xmlns:c16="http://schemas.microsoft.com/office/drawing/2014/chart" uri="{C3380CC4-5D6E-409C-BE32-E72D297353CC}">
                <c16:uniqueId val="{00000017-BDF3-4BC9-A2A3-2DE27166564B}"/>
              </c:ext>
            </c:extLst>
          </c:dPt>
          <c:dPt>
            <c:idx val="12"/>
            <c:bubble3D val="0"/>
            <c:spPr>
              <a:solidFill>
                <a:schemeClr val="accent1">
                  <a:lumMod val="80000"/>
                  <a:lumOff val="20000"/>
                </a:schemeClr>
              </a:solidFill>
              <a:ln w="6350">
                <a:solidFill>
                  <a:schemeClr val="tx1"/>
                </a:solidFill>
              </a:ln>
              <a:effectLst/>
            </c:spPr>
            <c:extLst>
              <c:ext xmlns:c16="http://schemas.microsoft.com/office/drawing/2014/chart" uri="{C3380CC4-5D6E-409C-BE32-E72D297353CC}">
                <c16:uniqueId val="{00000019-BDF3-4BC9-A2A3-2DE27166564B}"/>
              </c:ext>
            </c:extLst>
          </c:dPt>
          <c:dPt>
            <c:idx val="13"/>
            <c:bubble3D val="0"/>
            <c:spPr>
              <a:solidFill>
                <a:schemeClr val="accent2">
                  <a:lumMod val="80000"/>
                  <a:lumOff val="20000"/>
                </a:schemeClr>
              </a:solidFill>
              <a:ln w="6350">
                <a:solidFill>
                  <a:schemeClr val="tx1"/>
                </a:solidFill>
              </a:ln>
              <a:effectLst/>
            </c:spPr>
            <c:extLst>
              <c:ext xmlns:c16="http://schemas.microsoft.com/office/drawing/2014/chart" uri="{C3380CC4-5D6E-409C-BE32-E72D297353CC}">
                <c16:uniqueId val="{0000001B-BDF3-4BC9-A2A3-2DE27166564B}"/>
              </c:ext>
            </c:extLst>
          </c:dPt>
          <c:dPt>
            <c:idx val="14"/>
            <c:bubble3D val="0"/>
            <c:spPr>
              <a:solidFill>
                <a:schemeClr val="accent3">
                  <a:lumMod val="80000"/>
                  <a:lumOff val="20000"/>
                </a:schemeClr>
              </a:solidFill>
              <a:ln w="6350">
                <a:solidFill>
                  <a:schemeClr val="tx1"/>
                </a:solidFill>
              </a:ln>
              <a:effectLst/>
            </c:spPr>
            <c:extLst>
              <c:ext xmlns:c16="http://schemas.microsoft.com/office/drawing/2014/chart" uri="{C3380CC4-5D6E-409C-BE32-E72D297353CC}">
                <c16:uniqueId val="{0000001D-BDF3-4BC9-A2A3-2DE27166564B}"/>
              </c:ext>
            </c:extLst>
          </c:dPt>
          <c:dPt>
            <c:idx val="15"/>
            <c:bubble3D val="0"/>
            <c:spPr>
              <a:solidFill>
                <a:schemeClr val="accent4">
                  <a:lumMod val="80000"/>
                  <a:lumOff val="20000"/>
                </a:schemeClr>
              </a:solidFill>
              <a:ln w="6350">
                <a:solidFill>
                  <a:schemeClr val="tx1"/>
                </a:solidFill>
              </a:ln>
              <a:effectLst/>
            </c:spPr>
            <c:extLst>
              <c:ext xmlns:c16="http://schemas.microsoft.com/office/drawing/2014/chart" uri="{C3380CC4-5D6E-409C-BE32-E72D297353CC}">
                <c16:uniqueId val="{0000001F-BDF3-4BC9-A2A3-2DE27166564B}"/>
              </c:ext>
            </c:extLst>
          </c:dPt>
          <c:dPt>
            <c:idx val="16"/>
            <c:bubble3D val="0"/>
            <c:spPr>
              <a:solidFill>
                <a:schemeClr val="accent5">
                  <a:lumMod val="80000"/>
                  <a:lumOff val="20000"/>
                </a:schemeClr>
              </a:solidFill>
              <a:ln w="6350">
                <a:solidFill>
                  <a:schemeClr val="tx1"/>
                </a:solidFill>
              </a:ln>
              <a:effectLst/>
            </c:spPr>
            <c:extLst>
              <c:ext xmlns:c16="http://schemas.microsoft.com/office/drawing/2014/chart" uri="{C3380CC4-5D6E-409C-BE32-E72D297353CC}">
                <c16:uniqueId val="{00000021-BDF3-4BC9-A2A3-2DE27166564B}"/>
              </c:ext>
            </c:extLst>
          </c:dPt>
          <c:dPt>
            <c:idx val="17"/>
            <c:bubble3D val="0"/>
            <c:spPr>
              <a:solidFill>
                <a:schemeClr val="accent6">
                  <a:lumMod val="80000"/>
                  <a:lumOff val="20000"/>
                </a:schemeClr>
              </a:solidFill>
              <a:ln w="6350">
                <a:solidFill>
                  <a:schemeClr val="tx1"/>
                </a:solidFill>
              </a:ln>
              <a:effectLst/>
            </c:spPr>
            <c:extLst>
              <c:ext xmlns:c16="http://schemas.microsoft.com/office/drawing/2014/chart" uri="{C3380CC4-5D6E-409C-BE32-E72D297353CC}">
                <c16:uniqueId val="{00000023-BDF3-4BC9-A2A3-2DE27166564B}"/>
              </c:ext>
            </c:extLst>
          </c:dPt>
          <c:dPt>
            <c:idx val="18"/>
            <c:bubble3D val="0"/>
            <c:spPr>
              <a:solidFill>
                <a:schemeClr val="accent1">
                  <a:lumMod val="80000"/>
                </a:schemeClr>
              </a:solidFill>
              <a:ln w="6350">
                <a:solidFill>
                  <a:schemeClr val="tx1"/>
                </a:solidFill>
              </a:ln>
              <a:effectLst/>
            </c:spPr>
            <c:extLst>
              <c:ext xmlns:c16="http://schemas.microsoft.com/office/drawing/2014/chart" uri="{C3380CC4-5D6E-409C-BE32-E72D297353CC}">
                <c16:uniqueId val="{00000025-BDF3-4BC9-A2A3-2DE27166564B}"/>
              </c:ext>
            </c:extLst>
          </c:dPt>
          <c:dPt>
            <c:idx val="19"/>
            <c:bubble3D val="0"/>
            <c:spPr>
              <a:solidFill>
                <a:schemeClr val="accent2">
                  <a:lumMod val="80000"/>
                </a:schemeClr>
              </a:solidFill>
              <a:ln w="6350">
                <a:solidFill>
                  <a:schemeClr val="tx1"/>
                </a:solidFill>
              </a:ln>
              <a:effectLst/>
            </c:spPr>
            <c:extLst>
              <c:ext xmlns:c16="http://schemas.microsoft.com/office/drawing/2014/chart" uri="{C3380CC4-5D6E-409C-BE32-E72D297353CC}">
                <c16:uniqueId val="{00000027-BDF3-4BC9-A2A3-2DE27166564B}"/>
              </c:ext>
            </c:extLst>
          </c:dPt>
          <c:dPt>
            <c:idx val="20"/>
            <c:bubble3D val="0"/>
            <c:spPr>
              <a:solidFill>
                <a:schemeClr val="accent3">
                  <a:lumMod val="80000"/>
                </a:schemeClr>
              </a:solidFill>
              <a:ln w="6350">
                <a:solidFill>
                  <a:schemeClr val="tx1"/>
                </a:solidFill>
              </a:ln>
              <a:effectLst/>
            </c:spPr>
            <c:extLst>
              <c:ext xmlns:c16="http://schemas.microsoft.com/office/drawing/2014/chart" uri="{C3380CC4-5D6E-409C-BE32-E72D297353CC}">
                <c16:uniqueId val="{00000029-BDF3-4BC9-A2A3-2DE27166564B}"/>
              </c:ext>
            </c:extLst>
          </c:dPt>
          <c:dPt>
            <c:idx val="21"/>
            <c:bubble3D val="0"/>
            <c:spPr>
              <a:solidFill>
                <a:schemeClr val="accent4">
                  <a:lumMod val="80000"/>
                </a:schemeClr>
              </a:solidFill>
              <a:ln w="6350">
                <a:solidFill>
                  <a:schemeClr val="tx1"/>
                </a:solidFill>
              </a:ln>
              <a:effectLst/>
            </c:spPr>
            <c:extLst>
              <c:ext xmlns:c16="http://schemas.microsoft.com/office/drawing/2014/chart" uri="{C3380CC4-5D6E-409C-BE32-E72D297353CC}">
                <c16:uniqueId val="{0000002B-BDF3-4BC9-A2A3-2DE27166564B}"/>
              </c:ext>
            </c:extLst>
          </c:dPt>
          <c:dPt>
            <c:idx val="22"/>
            <c:bubble3D val="0"/>
            <c:spPr>
              <a:solidFill>
                <a:schemeClr val="accent5">
                  <a:lumMod val="80000"/>
                </a:schemeClr>
              </a:solidFill>
              <a:ln w="6350">
                <a:solidFill>
                  <a:schemeClr val="tx1"/>
                </a:solidFill>
              </a:ln>
              <a:effectLst/>
            </c:spPr>
            <c:extLst>
              <c:ext xmlns:c16="http://schemas.microsoft.com/office/drawing/2014/chart" uri="{C3380CC4-5D6E-409C-BE32-E72D297353CC}">
                <c16:uniqueId val="{0000002D-BDF3-4BC9-A2A3-2DE27166564B}"/>
              </c:ext>
            </c:extLst>
          </c:dPt>
          <c:dPt>
            <c:idx val="23"/>
            <c:bubble3D val="0"/>
            <c:spPr>
              <a:solidFill>
                <a:schemeClr val="accent6">
                  <a:lumMod val="80000"/>
                </a:schemeClr>
              </a:solidFill>
              <a:ln w="6350">
                <a:solidFill>
                  <a:schemeClr val="tx1"/>
                </a:solidFill>
              </a:ln>
              <a:effectLst/>
            </c:spPr>
            <c:extLst>
              <c:ext xmlns:c16="http://schemas.microsoft.com/office/drawing/2014/chart" uri="{C3380CC4-5D6E-409C-BE32-E72D297353CC}">
                <c16:uniqueId val="{0000002F-BDF3-4BC9-A2A3-2DE27166564B}"/>
              </c:ext>
            </c:extLst>
          </c:dPt>
          <c:dPt>
            <c:idx val="24"/>
            <c:bubble3D val="0"/>
            <c:spPr>
              <a:solidFill>
                <a:schemeClr val="accent1">
                  <a:lumMod val="60000"/>
                  <a:lumOff val="40000"/>
                </a:schemeClr>
              </a:solidFill>
              <a:ln w="6350">
                <a:solidFill>
                  <a:schemeClr val="tx1"/>
                </a:solidFill>
              </a:ln>
              <a:effectLst/>
            </c:spPr>
            <c:extLst>
              <c:ext xmlns:c16="http://schemas.microsoft.com/office/drawing/2014/chart" uri="{C3380CC4-5D6E-409C-BE32-E72D297353CC}">
                <c16:uniqueId val="{00000031-BDF3-4BC9-A2A3-2DE27166564B}"/>
              </c:ext>
            </c:extLst>
          </c:dPt>
          <c:dPt>
            <c:idx val="25"/>
            <c:bubble3D val="0"/>
            <c:spPr>
              <a:solidFill>
                <a:schemeClr val="accent2">
                  <a:lumMod val="60000"/>
                  <a:lumOff val="40000"/>
                </a:schemeClr>
              </a:solidFill>
              <a:ln w="6350">
                <a:solidFill>
                  <a:schemeClr val="tx1"/>
                </a:solidFill>
              </a:ln>
              <a:effectLst/>
            </c:spPr>
            <c:extLst>
              <c:ext xmlns:c16="http://schemas.microsoft.com/office/drawing/2014/chart" uri="{C3380CC4-5D6E-409C-BE32-E72D297353CC}">
                <c16:uniqueId val="{00000033-BDF3-4BC9-A2A3-2DE27166564B}"/>
              </c:ext>
            </c:extLst>
          </c:dPt>
          <c:dPt>
            <c:idx val="26"/>
            <c:bubble3D val="0"/>
            <c:spPr>
              <a:solidFill>
                <a:schemeClr val="accent3">
                  <a:lumMod val="60000"/>
                  <a:lumOff val="40000"/>
                </a:schemeClr>
              </a:solidFill>
              <a:ln w="6350">
                <a:solidFill>
                  <a:schemeClr val="tx1"/>
                </a:solidFill>
              </a:ln>
              <a:effectLst/>
            </c:spPr>
            <c:extLst>
              <c:ext xmlns:c16="http://schemas.microsoft.com/office/drawing/2014/chart" uri="{C3380CC4-5D6E-409C-BE32-E72D297353CC}">
                <c16:uniqueId val="{00000035-BDF3-4BC9-A2A3-2DE27166564B}"/>
              </c:ext>
            </c:extLst>
          </c:dPt>
          <c:dPt>
            <c:idx val="27"/>
            <c:bubble3D val="0"/>
            <c:spPr>
              <a:solidFill>
                <a:schemeClr val="accent4">
                  <a:lumMod val="60000"/>
                  <a:lumOff val="40000"/>
                </a:schemeClr>
              </a:solidFill>
              <a:ln w="6350">
                <a:solidFill>
                  <a:schemeClr val="tx1"/>
                </a:solidFill>
              </a:ln>
              <a:effectLst/>
            </c:spPr>
            <c:extLst>
              <c:ext xmlns:c16="http://schemas.microsoft.com/office/drawing/2014/chart" uri="{C3380CC4-5D6E-409C-BE32-E72D297353CC}">
                <c16:uniqueId val="{00000037-BDF3-4BC9-A2A3-2DE27166564B}"/>
              </c:ext>
            </c:extLst>
          </c:dPt>
          <c:cat>
            <c:strRef>
              <c:f>[2]Summary!$L$61:$L$88</c:f>
              <c:strCache>
                <c:ptCount val="28"/>
                <c:pt idx="0">
                  <c:v>Johnson Cr</c:v>
                </c:pt>
                <c:pt idx="1">
                  <c:v>S Fk Salmon</c:v>
                </c:pt>
                <c:pt idx="2">
                  <c:v>Curtis/Cabin Cr.</c:v>
                </c:pt>
                <c:pt idx="3">
                  <c:v>Pahsimeroi</c:v>
                </c:pt>
                <c:pt idx="4">
                  <c:v>Panther Cr</c:v>
                </c:pt>
                <c:pt idx="5">
                  <c:v>Walla Walla</c:v>
                </c:pt>
                <c:pt idx="6">
                  <c:v>Tucannon</c:v>
                </c:pt>
                <c:pt idx="7">
                  <c:v>Asotin Cr</c:v>
                </c:pt>
                <c:pt idx="8">
                  <c:v>Catherine Cr</c:v>
                </c:pt>
                <c:pt idx="9">
                  <c:v>U Grande Ronde</c:v>
                </c:pt>
                <c:pt idx="10">
                  <c:v>Lostine </c:v>
                </c:pt>
                <c:pt idx="11">
                  <c:v>lookingglass Cr</c:v>
                </c:pt>
                <c:pt idx="12">
                  <c:v>Imnaha</c:v>
                </c:pt>
                <c:pt idx="13">
                  <c:v>Rapid</c:v>
                </c:pt>
                <c:pt idx="14">
                  <c:v>Little Salmon</c:v>
                </c:pt>
                <c:pt idx="15">
                  <c:v>Hells Cyn Snake R</c:v>
                </c:pt>
                <c:pt idx="16">
                  <c:v>Salmon R</c:v>
                </c:pt>
                <c:pt idx="17">
                  <c:v>Yankee Fork Salmon</c:v>
                </c:pt>
                <c:pt idx="18">
                  <c:v>Meadow (Selway)</c:v>
                </c:pt>
                <c:pt idx="19">
                  <c:v>Lolo Cr</c:v>
                </c:pt>
                <c:pt idx="20">
                  <c:v>Newsome Cr</c:v>
                </c:pt>
                <c:pt idx="21">
                  <c:v>Clearwater R</c:v>
                </c:pt>
                <c:pt idx="22">
                  <c:v>U Selway R</c:v>
                </c:pt>
                <c:pt idx="23">
                  <c:v>NF Clearwater R</c:v>
                </c:pt>
                <c:pt idx="24">
                  <c:v>Clear Cr</c:v>
                </c:pt>
                <c:pt idx="25">
                  <c:v>Other locations</c:v>
                </c:pt>
                <c:pt idx="26">
                  <c:v>Clear Cr</c:v>
                </c:pt>
                <c:pt idx="27">
                  <c:v>Red River</c:v>
                </c:pt>
              </c:strCache>
            </c:strRef>
          </c:cat>
          <c:val>
            <c:numRef>
              <c:f>[2]Summary!$O$61:$O$88</c:f>
              <c:numCache>
                <c:formatCode>General</c:formatCode>
                <c:ptCount val="28"/>
                <c:pt idx="0">
                  <c:v>150000</c:v>
                </c:pt>
                <c:pt idx="1">
                  <c:v>1000000</c:v>
                </c:pt>
                <c:pt idx="3">
                  <c:v>1000000</c:v>
                </c:pt>
                <c:pt idx="4">
                  <c:v>0</c:v>
                </c:pt>
                <c:pt idx="5">
                  <c:v>250000</c:v>
                </c:pt>
                <c:pt idx="6">
                  <c:v>225500</c:v>
                </c:pt>
                <c:pt idx="7">
                  <c:v>0</c:v>
                </c:pt>
                <c:pt idx="8">
                  <c:v>150000</c:v>
                </c:pt>
                <c:pt idx="9">
                  <c:v>250000</c:v>
                </c:pt>
                <c:pt idx="10">
                  <c:v>250000</c:v>
                </c:pt>
                <c:pt idx="11">
                  <c:v>250000</c:v>
                </c:pt>
                <c:pt idx="12">
                  <c:v>490000</c:v>
                </c:pt>
                <c:pt idx="13">
                  <c:v>2500000</c:v>
                </c:pt>
                <c:pt idx="14">
                  <c:v>150000</c:v>
                </c:pt>
                <c:pt idx="15">
                  <c:v>350000</c:v>
                </c:pt>
                <c:pt idx="16">
                  <c:v>1800000</c:v>
                </c:pt>
                <c:pt idx="17">
                  <c:v>300000</c:v>
                </c:pt>
                <c:pt idx="21">
                  <c:v>200000</c:v>
                </c:pt>
                <c:pt idx="23">
                  <c:v>1050000</c:v>
                </c:pt>
                <c:pt idx="24">
                  <c:v>650000</c:v>
                </c:pt>
                <c:pt idx="25">
                  <c:v>1000000</c:v>
                </c:pt>
                <c:pt idx="26">
                  <c:v>900000</c:v>
                </c:pt>
                <c:pt idx="27">
                  <c:v>1200000</c:v>
                </c:pt>
              </c:numCache>
            </c:numRef>
          </c:val>
          <c:extLst>
            <c:ext xmlns:c16="http://schemas.microsoft.com/office/drawing/2014/chart" uri="{C3380CC4-5D6E-409C-BE32-E72D297353CC}">
              <c16:uniqueId val="{00000038-BDF3-4BC9-A2A3-2DE27166564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solidFill>
                  <a:schemeClr val="tx1"/>
                </a:solidFill>
              </a:rPr>
              <a:t>Fishery Distribution </a:t>
            </a:r>
          </a:p>
          <a:p>
            <a:pPr>
              <a:defRPr b="1">
                <a:solidFill>
                  <a:schemeClr val="tx1"/>
                </a:solidFill>
              </a:defRPr>
            </a:pPr>
            <a:r>
              <a:rPr lang="en-US" b="1">
                <a:solidFill>
                  <a:schemeClr val="tx1"/>
                </a:solidFill>
              </a:rPr>
              <a:t>Hatchery &amp; Wild Combined</a:t>
            </a:r>
          </a:p>
          <a:p>
            <a:pPr>
              <a:defRPr b="1">
                <a:solidFill>
                  <a:schemeClr val="tx1"/>
                </a:solidFill>
              </a:defRPr>
            </a:pPr>
            <a:r>
              <a:rPr lang="en-US" b="1">
                <a:solidFill>
                  <a:schemeClr val="tx1"/>
                </a:solidFill>
              </a:rPr>
              <a:t>2007-2016 avg.</a:t>
            </a:r>
          </a:p>
        </c:rich>
      </c:tx>
      <c:layout>
        <c:manualLayout>
          <c:xMode val="edge"/>
          <c:yMode val="edge"/>
          <c:x val="1.5020778652668416E-2"/>
          <c:y val="2.777777777777777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42815288713910765"/>
          <c:y val="8.9212962962962952E-2"/>
          <c:w val="0.52147222222222223"/>
          <c:h val="0.86912037037037038"/>
        </c:manualLayout>
      </c:layout>
      <c:pieChart>
        <c:varyColors val="1"/>
        <c:ser>
          <c:idx val="0"/>
          <c:order val="0"/>
          <c:spPr>
            <a:ln w="12700">
              <a:solidFill>
                <a:schemeClr val="tx1"/>
              </a:solidFill>
            </a:ln>
          </c:spPr>
          <c:dPt>
            <c:idx val="0"/>
            <c:bubble3D val="0"/>
            <c:spPr>
              <a:solidFill>
                <a:schemeClr val="accent1"/>
              </a:solidFill>
              <a:ln w="12700">
                <a:solidFill>
                  <a:schemeClr val="tx1"/>
                </a:solidFill>
              </a:ln>
              <a:effectLst/>
            </c:spPr>
            <c:extLst>
              <c:ext xmlns:c16="http://schemas.microsoft.com/office/drawing/2014/chart" uri="{C3380CC4-5D6E-409C-BE32-E72D297353CC}">
                <c16:uniqueId val="{00000001-1D29-421C-9D18-740026E1894C}"/>
              </c:ext>
            </c:extLst>
          </c:dPt>
          <c:dPt>
            <c:idx val="1"/>
            <c:bubble3D val="0"/>
            <c:spPr>
              <a:solidFill>
                <a:schemeClr val="accent1">
                  <a:lumMod val="20000"/>
                  <a:lumOff val="80000"/>
                </a:schemeClr>
              </a:solidFill>
              <a:ln w="12700">
                <a:solidFill>
                  <a:schemeClr val="tx1"/>
                </a:solidFill>
              </a:ln>
              <a:effectLst/>
            </c:spPr>
            <c:extLst>
              <c:ext xmlns:c16="http://schemas.microsoft.com/office/drawing/2014/chart" uri="{C3380CC4-5D6E-409C-BE32-E72D297353CC}">
                <c16:uniqueId val="{00000003-1D29-421C-9D18-740026E1894C}"/>
              </c:ext>
            </c:extLst>
          </c:dPt>
          <c:dPt>
            <c:idx val="2"/>
            <c:bubble3D val="0"/>
            <c:spPr>
              <a:solidFill>
                <a:schemeClr val="accent6">
                  <a:lumMod val="60000"/>
                  <a:lumOff val="40000"/>
                </a:schemeClr>
              </a:solidFill>
              <a:ln w="12700">
                <a:solidFill>
                  <a:schemeClr val="tx1"/>
                </a:solidFill>
              </a:ln>
              <a:effectLst/>
            </c:spPr>
            <c:extLst>
              <c:ext xmlns:c16="http://schemas.microsoft.com/office/drawing/2014/chart" uri="{C3380CC4-5D6E-409C-BE32-E72D297353CC}">
                <c16:uniqueId val="{00000005-1D29-421C-9D18-740026E1894C}"/>
              </c:ext>
            </c:extLst>
          </c:dPt>
          <c:dLbls>
            <c:dLbl>
              <c:idx val="0"/>
              <c:layout>
                <c:manualLayout>
                  <c:x val="-0.10101246719160105"/>
                  <c:y val="5.762248468941382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29-421C-9D18-740026E1894C}"/>
                </c:ext>
              </c:extLst>
            </c:dLbl>
            <c:dLbl>
              <c:idx val="1"/>
              <c:layout>
                <c:manualLayout>
                  <c:x val="8.1979221347331488E-2"/>
                  <c:y val="0.24398184601924761"/>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29-421C-9D18-740026E1894C}"/>
                </c:ext>
              </c:extLst>
            </c:dLbl>
            <c:dLbl>
              <c:idx val="2"/>
              <c:layout>
                <c:manualLayout>
                  <c:x val="-0.15318700787401573"/>
                  <c:y val="-0.24898731408573929"/>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29-421C-9D18-740026E1894C}"/>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showLegendKey val="0"/>
            <c:showVal val="1"/>
            <c:showCatName val="1"/>
            <c:showSerName val="0"/>
            <c:showPercent val="0"/>
            <c:showBubbleSize val="0"/>
            <c:showLeaderLines val="1"/>
            <c:leaderLines>
              <c:spPr>
                <a:ln w="25400" cap="flat" cmpd="sng" algn="ctr">
                  <a:solidFill>
                    <a:schemeClr val="tx1"/>
                  </a:solidFill>
                  <a:round/>
                </a:ln>
                <a:effectLst/>
              </c:spPr>
            </c:leaderLines>
            <c:extLst>
              <c:ext xmlns:c15="http://schemas.microsoft.com/office/drawing/2012/chart" uri="{CE6537A1-D6FC-4f65-9D91-7224C49458BB}"/>
            </c:extLst>
          </c:dLbls>
          <c:cat>
            <c:strRef>
              <c:f>[2]Run!$Q$6:$S$6</c:f>
              <c:strCache>
                <c:ptCount val="3"/>
                <c:pt idx="0">
                  <c:v>Non-treaty Comm</c:v>
                </c:pt>
                <c:pt idx="1">
                  <c:v>Non-treaty Sport</c:v>
                </c:pt>
                <c:pt idx="2">
                  <c:v>Treaty</c:v>
                </c:pt>
              </c:strCache>
            </c:strRef>
          </c:cat>
          <c:val>
            <c:numRef>
              <c:f>[2]Run!$Q$44:$S$44</c:f>
              <c:numCache>
                <c:formatCode>General</c:formatCode>
                <c:ptCount val="3"/>
                <c:pt idx="0">
                  <c:v>2.2447712514009541E-2</c:v>
                </c:pt>
                <c:pt idx="1">
                  <c:v>7.2360714765767511E-2</c:v>
                </c:pt>
                <c:pt idx="2">
                  <c:v>9.3193692151671448E-2</c:v>
                </c:pt>
              </c:numCache>
            </c:numRef>
          </c:val>
          <c:extLst>
            <c:ext xmlns:c16="http://schemas.microsoft.com/office/drawing/2014/chart" uri="{C3380CC4-5D6E-409C-BE32-E72D297353CC}">
              <c16:uniqueId val="{00000006-1D29-421C-9D18-740026E1894C}"/>
            </c:ext>
          </c:extLst>
        </c:ser>
        <c:dLbls>
          <c:showLegendKey val="0"/>
          <c:showVal val="1"/>
          <c:showCatName val="0"/>
          <c:showSerName val="0"/>
          <c:showPercent val="0"/>
          <c:showBubbleSize val="0"/>
          <c:showLeaderLines val="1"/>
        </c:dLbls>
        <c:firstSliceAng val="236"/>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Current Fishery Distribution </a:t>
            </a:r>
            <a:r>
              <a:rPr lang="en-US" sz="1200" b="1" baseline="0"/>
              <a:t>of Wild/Natural Impacts (2005-14 avg.)</a:t>
            </a:r>
            <a:endParaRPr lang="en-US" sz="1200" b="1"/>
          </a:p>
        </c:rich>
      </c:tx>
      <c:layout>
        <c:manualLayout>
          <c:xMode val="edge"/>
          <c:yMode val="edge"/>
          <c:x val="0.15103457889507521"/>
          <c:y val="2.3768601926868919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4223034795884407"/>
          <c:y val="0.23197258877577132"/>
          <c:w val="0.51611664350779674"/>
          <c:h val="0.68242089530475347"/>
        </c:manualLayout>
      </c:layout>
      <c:pieChart>
        <c:varyColors val="1"/>
        <c:ser>
          <c:idx val="0"/>
          <c:order val="0"/>
          <c:spPr>
            <a:ln w="6350">
              <a:solidFill>
                <a:schemeClr val="tx1"/>
              </a:solidFill>
            </a:ln>
          </c:spPr>
          <c:dPt>
            <c:idx val="0"/>
            <c:bubble3D val="0"/>
            <c:spPr>
              <a:solidFill>
                <a:schemeClr val="accent1"/>
              </a:solidFill>
              <a:ln w="6350">
                <a:solidFill>
                  <a:schemeClr val="tx1"/>
                </a:solidFill>
              </a:ln>
              <a:effectLst/>
            </c:spPr>
            <c:extLst>
              <c:ext xmlns:c16="http://schemas.microsoft.com/office/drawing/2014/chart" uri="{C3380CC4-5D6E-409C-BE32-E72D297353CC}">
                <c16:uniqueId val="{00000001-2994-4A54-8127-FAAA6CE3D96F}"/>
              </c:ext>
            </c:extLst>
          </c:dPt>
          <c:dPt>
            <c:idx val="1"/>
            <c:bubble3D val="0"/>
            <c:spPr>
              <a:solidFill>
                <a:schemeClr val="accent6">
                  <a:lumMod val="60000"/>
                  <a:lumOff val="40000"/>
                </a:schemeClr>
              </a:solidFill>
              <a:ln w="6350">
                <a:solidFill>
                  <a:schemeClr val="tx1"/>
                </a:solidFill>
              </a:ln>
              <a:effectLst/>
            </c:spPr>
            <c:extLst>
              <c:ext xmlns:c16="http://schemas.microsoft.com/office/drawing/2014/chart" uri="{C3380CC4-5D6E-409C-BE32-E72D297353CC}">
                <c16:uniqueId val="{00000003-2994-4A54-8127-FAAA6CE3D96F}"/>
              </c:ext>
            </c:extLst>
          </c:dPt>
          <c:dPt>
            <c:idx val="2"/>
            <c:bubble3D val="0"/>
            <c:spPr>
              <a:solidFill>
                <a:schemeClr val="accent6">
                  <a:lumMod val="75000"/>
                </a:schemeClr>
              </a:solidFill>
              <a:ln w="6350">
                <a:solidFill>
                  <a:schemeClr val="tx1"/>
                </a:solidFill>
              </a:ln>
              <a:effectLst/>
            </c:spPr>
            <c:extLst>
              <c:ext xmlns:c16="http://schemas.microsoft.com/office/drawing/2014/chart" uri="{C3380CC4-5D6E-409C-BE32-E72D297353CC}">
                <c16:uniqueId val="{00000005-2994-4A54-8127-FAAA6CE3D96F}"/>
              </c:ext>
            </c:extLst>
          </c:dPt>
          <c:dPt>
            <c:idx val="3"/>
            <c:bubble3D val="0"/>
            <c:spPr>
              <a:solidFill>
                <a:schemeClr val="accent1">
                  <a:lumMod val="20000"/>
                  <a:lumOff val="80000"/>
                </a:schemeClr>
              </a:solidFill>
              <a:ln w="6350">
                <a:solidFill>
                  <a:schemeClr val="tx1"/>
                </a:solidFill>
              </a:ln>
              <a:effectLst/>
            </c:spPr>
            <c:extLst>
              <c:ext xmlns:c16="http://schemas.microsoft.com/office/drawing/2014/chart" uri="{C3380CC4-5D6E-409C-BE32-E72D297353CC}">
                <c16:uniqueId val="{00000007-2994-4A54-8127-FAAA6CE3D96F}"/>
              </c:ext>
            </c:extLst>
          </c:dPt>
          <c:dPt>
            <c:idx val="4"/>
            <c:bubble3D val="0"/>
            <c:spPr>
              <a:solidFill>
                <a:schemeClr val="accent5"/>
              </a:solidFill>
              <a:ln w="6350">
                <a:solidFill>
                  <a:schemeClr val="tx1"/>
                </a:solidFill>
              </a:ln>
              <a:effectLst/>
            </c:spPr>
            <c:extLst>
              <c:ext xmlns:c16="http://schemas.microsoft.com/office/drawing/2014/chart" uri="{C3380CC4-5D6E-409C-BE32-E72D297353CC}">
                <c16:uniqueId val="{00000009-2994-4A54-8127-FAAA6CE3D96F}"/>
              </c:ext>
            </c:extLst>
          </c:dPt>
          <c:dPt>
            <c:idx val="5"/>
            <c:bubble3D val="0"/>
            <c:spPr>
              <a:solidFill>
                <a:schemeClr val="accent1">
                  <a:lumMod val="50000"/>
                </a:schemeClr>
              </a:solidFill>
              <a:ln w="6350">
                <a:solidFill>
                  <a:schemeClr val="tx1"/>
                </a:solidFill>
              </a:ln>
              <a:effectLst/>
            </c:spPr>
            <c:extLst>
              <c:ext xmlns:c16="http://schemas.microsoft.com/office/drawing/2014/chart" uri="{C3380CC4-5D6E-409C-BE32-E72D297353CC}">
                <c16:uniqueId val="{0000000B-2994-4A54-8127-FAAA6CE3D96F}"/>
              </c:ext>
            </c:extLst>
          </c:dPt>
          <c:dLbls>
            <c:dLbl>
              <c:idx val="0"/>
              <c:layout>
                <c:manualLayout>
                  <c:x val="6.6205110933954051E-2"/>
                  <c:y val="-8.9928258967629047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94-4A54-8127-FAAA6CE3D96F}"/>
                </c:ext>
              </c:extLst>
            </c:dLbl>
            <c:dLbl>
              <c:idx val="1"/>
              <c:layout>
                <c:manualLayout>
                  <c:x val="-0.11266103843178966"/>
                  <c:y val="-3.4398520742911651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94-4A54-8127-FAAA6CE3D96F}"/>
                </c:ext>
              </c:extLst>
            </c:dLbl>
            <c:dLbl>
              <c:idx val="2"/>
              <c:layout>
                <c:manualLayout>
                  <c:x val="-3.4264082685385271E-2"/>
                  <c:y val="4.7642727135415258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94-4A54-8127-FAAA6CE3D96F}"/>
                </c:ext>
              </c:extLst>
            </c:dLbl>
            <c:dLbl>
              <c:idx val="3"/>
              <c:layout>
                <c:manualLayout>
                  <c:x val="0.12487024549363628"/>
                  <c:y val="7.401147789839000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94-4A54-8127-FAAA6CE3D96F}"/>
                </c:ext>
              </c:extLst>
            </c:dLbl>
            <c:dLbl>
              <c:idx val="4"/>
              <c:layout>
                <c:manualLayout>
                  <c:x val="3.5336801457207752E-2"/>
                  <c:y val="2.3101322351555295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94-4A54-8127-FAAA6CE3D96F}"/>
                </c:ext>
              </c:extLst>
            </c:dLbl>
            <c:dLbl>
              <c:idx val="5"/>
              <c:layout>
                <c:manualLayout>
                  <c:x val="6.7024912356989486E-2"/>
                  <c:y val="1.741347331583560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94-4A54-8127-FAAA6CE3D96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[3]Fishery!$U$7:$U$12</c:f>
              <c:strCache>
                <c:ptCount val="6"/>
                <c:pt idx="1">
                  <c:v>Zone 6 tribal</c:v>
                </c:pt>
                <c:pt idx="2">
                  <c:v>LCR comm. &amp; sport</c:v>
                </c:pt>
                <c:pt idx="3">
                  <c:v>OR/WA ocean</c:v>
                </c:pt>
                <c:pt idx="4">
                  <c:v>Canada ocean</c:v>
                </c:pt>
                <c:pt idx="5">
                  <c:v>Alaska ocean</c:v>
                </c:pt>
              </c:strCache>
            </c:strRef>
          </c:cat>
          <c:val>
            <c:numRef>
              <c:f>[3]Fishery!$V$7:$V$12</c:f>
              <c:numCache>
                <c:formatCode>General</c:formatCode>
                <c:ptCount val="6"/>
                <c:pt idx="1">
                  <c:v>0.14964679521990507</c:v>
                </c:pt>
                <c:pt idx="2">
                  <c:v>8.6422729560238734E-2</c:v>
                </c:pt>
                <c:pt idx="3">
                  <c:v>9.7899999999999987E-2</c:v>
                </c:pt>
                <c:pt idx="4">
                  <c:v>7.4699999999999989E-2</c:v>
                </c:pt>
                <c:pt idx="5">
                  <c:v>2.2300000000000004E-2</c:v>
                </c:pt>
              </c:numCache>
            </c:numRef>
          </c:val>
          <c:extLst>
            <c:ext xmlns:c16="http://schemas.microsoft.com/office/drawing/2014/chart" uri="{C3380CC4-5D6E-409C-BE32-E72D297353CC}">
              <c16:uniqueId val="{0000000C-2994-4A54-8127-FAAA6CE3D96F}"/>
            </c:ext>
          </c:extLst>
        </c:ser>
        <c:dLbls>
          <c:showLegendKey val="0"/>
          <c:showVal val="0"/>
          <c:showCatName val="0"/>
          <c:showSerName val="0"/>
          <c:showPercent val="0"/>
          <c:showBubbleSize val="0"/>
          <c:showLeaderLines val="1"/>
        </c:dLbls>
        <c:firstSliceAng val="145"/>
      </c:pieChart>
      <c:spPr>
        <a:noFill/>
        <a:ln w="635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emf"/><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2.emf"/><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9.xml"/><Relationship Id="rId1" Type="http://schemas.openxmlformats.org/officeDocument/2006/relationships/image" Target="../media/image8.emf"/><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10.jpg"/></Relationships>
</file>

<file path=xl/drawings/_rels/drawing8.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xdr:from>
      <xdr:col>1</xdr:col>
      <xdr:colOff>57149</xdr:colOff>
      <xdr:row>1</xdr:row>
      <xdr:rowOff>57151</xdr:rowOff>
    </xdr:from>
    <xdr:to>
      <xdr:col>11</xdr:col>
      <xdr:colOff>1347108</xdr:colOff>
      <xdr:row>9</xdr:row>
      <xdr:rowOff>0</xdr:rowOff>
    </xdr:to>
    <xdr:sp macro="" textlink="">
      <xdr:nvSpPr>
        <xdr:cNvPr id="2" name="TextBox 1">
          <a:extLst>
            <a:ext uri="{FF2B5EF4-FFF2-40B4-BE49-F238E27FC236}">
              <a16:creationId xmlns:a16="http://schemas.microsoft.com/office/drawing/2014/main" id="{EBB9CB42-7AAB-483C-ABF1-0329BEB37839}"/>
            </a:ext>
          </a:extLst>
        </xdr:cNvPr>
        <xdr:cNvSpPr txBox="1"/>
      </xdr:nvSpPr>
      <xdr:spPr>
        <a:xfrm>
          <a:off x="276224" y="333376"/>
          <a:ext cx="8538484" cy="1362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71450" indent="-171450">
            <a:spcAft>
              <a:spcPts val="300"/>
            </a:spcAft>
            <a:buFont typeface="Arial" panose="020B0604020202020204" pitchFamily="34" charset="0"/>
            <a:buChar char="•"/>
          </a:pPr>
          <a:r>
            <a:rPr lang="en-US" sz="1200" i="1" baseline="0"/>
            <a:t>Currently produced in moderate to high elevation areas of major tributaries from the Snake River mouth to Hells Canyon Dam.</a:t>
          </a:r>
        </a:p>
        <a:p>
          <a:pPr marL="171450" indent="-171450">
            <a:spcAft>
              <a:spcPts val="300"/>
            </a:spcAft>
            <a:buFont typeface="Arial" panose="020B0604020202020204" pitchFamily="34" charset="0"/>
            <a:buChar char="•"/>
          </a:pPr>
          <a:r>
            <a:rPr lang="en-US" sz="1200" i="1" baseline="0"/>
            <a:t>Numerous historical production areas located upstream from the Hells Canyon Dam complex and is no longer accessible.</a:t>
          </a:r>
        </a:p>
        <a:p>
          <a:pPr marL="171450" indent="-171450">
            <a:spcAft>
              <a:spcPts val="300"/>
            </a:spcAft>
            <a:buFont typeface="Arial" panose="020B0604020202020204" pitchFamily="34" charset="0"/>
            <a:buChar char="•"/>
          </a:pPr>
          <a:r>
            <a:rPr lang="en-US" sz="1200" i="1" baseline="0"/>
            <a:t>Harvest occurs entirely in freshwater and has been substantially reduced from historical levels.</a:t>
          </a:r>
        </a:p>
        <a:p>
          <a:pPr marL="171450" marR="0" lvl="0" indent="-171450" defTabSz="914400" eaLnBrk="1" fontAlgn="auto" latinLnBrk="0" hangingPunct="1">
            <a:lnSpc>
              <a:spcPct val="100000"/>
            </a:lnSpc>
            <a:spcBef>
              <a:spcPts val="0"/>
            </a:spcBef>
            <a:spcAft>
              <a:spcPts val="300"/>
            </a:spcAft>
            <a:buClrTx/>
            <a:buSzTx/>
            <a:buFont typeface="Arial" panose="020B0604020202020204" pitchFamily="34" charset="0"/>
            <a:buChar char="•"/>
            <a:tabLst/>
            <a:defRPr/>
          </a:pPr>
          <a:r>
            <a:rPr lang="en-US" sz="1200" i="1" baseline="0">
              <a:solidFill>
                <a:schemeClr val="dk1"/>
              </a:solidFill>
              <a:effectLst/>
              <a:latin typeface="+mn-lt"/>
              <a:ea typeface="+mn-ea"/>
              <a:cs typeface="+mn-cs"/>
            </a:rPr>
            <a:t>Many populations are also limited by land and water use in spawning and rearing areas but others occur in high quality wilderness habitats.</a:t>
          </a:r>
        </a:p>
        <a:p>
          <a:pPr marL="171450" marR="0" lvl="0" indent="-171450" defTabSz="914400" eaLnBrk="1" fontAlgn="auto" latinLnBrk="0" hangingPunct="1">
            <a:lnSpc>
              <a:spcPct val="100000"/>
            </a:lnSpc>
            <a:spcBef>
              <a:spcPts val="0"/>
            </a:spcBef>
            <a:spcAft>
              <a:spcPts val="300"/>
            </a:spcAft>
            <a:buClrTx/>
            <a:buSzTx/>
            <a:buFont typeface="Arial" panose="020B0604020202020204" pitchFamily="34" charset="0"/>
            <a:buChar char="•"/>
            <a:tabLst/>
            <a:defRPr/>
          </a:pPr>
          <a:r>
            <a:rPr lang="en-US" sz="1200" i="1" baseline="0">
              <a:effectLst/>
            </a:rPr>
            <a:t>Significant hatchery production occurs as mitigation for human impacts.</a:t>
          </a:r>
        </a:p>
        <a:p>
          <a:pPr marL="171450" lvl="0" indent="-171450">
            <a:spcAft>
              <a:spcPts val="300"/>
            </a:spcAft>
            <a:buFont typeface="Arial" panose="020B0604020202020204" pitchFamily="34" charset="0"/>
            <a:buChar char="•"/>
          </a:pPr>
          <a:r>
            <a:rPr lang="en-US" sz="1200" i="1">
              <a:solidFill>
                <a:schemeClr val="dk1"/>
              </a:solidFill>
              <a:effectLst/>
              <a:latin typeface="+mn-lt"/>
              <a:ea typeface="+mn-ea"/>
              <a:cs typeface="+mn-cs"/>
            </a:rPr>
            <a:t>Key limiting factors include tributary habitat loss, blocked</a:t>
          </a:r>
          <a:r>
            <a:rPr lang="en-US" sz="1200" i="1" baseline="0">
              <a:solidFill>
                <a:schemeClr val="dk1"/>
              </a:solidFill>
              <a:effectLst/>
              <a:latin typeface="+mn-lt"/>
              <a:ea typeface="+mn-ea"/>
              <a:cs typeface="+mn-cs"/>
            </a:rPr>
            <a:t> access to historical habitats, </a:t>
          </a:r>
          <a:r>
            <a:rPr lang="en-US" sz="1200" i="1">
              <a:solidFill>
                <a:schemeClr val="dk1"/>
              </a:solidFill>
              <a:effectLst/>
              <a:latin typeface="+mn-lt"/>
              <a:ea typeface="+mn-ea"/>
              <a:cs typeface="+mn-cs"/>
            </a:rPr>
            <a:t>irrigation diversions,</a:t>
          </a:r>
          <a:r>
            <a:rPr lang="en-US" sz="1200" i="1" baseline="0">
              <a:solidFill>
                <a:schemeClr val="dk1"/>
              </a:solidFill>
              <a:effectLst/>
              <a:latin typeface="+mn-lt"/>
              <a:ea typeface="+mn-ea"/>
              <a:cs typeface="+mn-cs"/>
            </a:rPr>
            <a:t> mining legacy effects, mainstem hydropower effects, </a:t>
          </a:r>
          <a:r>
            <a:rPr lang="en-US" sz="1200" i="1">
              <a:solidFill>
                <a:schemeClr val="dk1"/>
              </a:solidFill>
              <a:effectLst/>
              <a:latin typeface="+mn-lt"/>
              <a:ea typeface="+mn-ea"/>
              <a:cs typeface="+mn-cs"/>
            </a:rPr>
            <a:t>pinniped and avian predation.</a:t>
          </a:r>
          <a:endParaRPr lang="en-US" sz="1200" i="1">
            <a:effectLst/>
          </a:endParaRPr>
        </a:p>
      </xdr:txBody>
    </xdr:sp>
    <xdr:clientData/>
  </xdr:twoCellAnchor>
  <xdr:twoCellAnchor editAs="oneCell">
    <xdr:from>
      <xdr:col>0</xdr:col>
      <xdr:colOff>150222</xdr:colOff>
      <xdr:row>9</xdr:row>
      <xdr:rowOff>82186</xdr:rowOff>
    </xdr:from>
    <xdr:to>
      <xdr:col>10</xdr:col>
      <xdr:colOff>215468</xdr:colOff>
      <xdr:row>46</xdr:row>
      <xdr:rowOff>136071</xdr:rowOff>
    </xdr:to>
    <xdr:pic>
      <xdr:nvPicPr>
        <xdr:cNvPr id="3" name="Picture 2">
          <a:extLst>
            <a:ext uri="{FF2B5EF4-FFF2-40B4-BE49-F238E27FC236}">
              <a16:creationId xmlns:a16="http://schemas.microsoft.com/office/drawing/2014/main" id="{C60E8956-51B2-4F19-99C6-E0DF2ECC8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222" y="1777636"/>
          <a:ext cx="7066121" cy="7007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337457</xdr:colOff>
      <xdr:row>9</xdr:row>
      <xdr:rowOff>104775</xdr:rowOff>
    </xdr:from>
    <xdr:to>
      <xdr:col>18</xdr:col>
      <xdr:colOff>892628</xdr:colOff>
      <xdr:row>28</xdr:row>
      <xdr:rowOff>76200</xdr:rowOff>
    </xdr:to>
    <xdr:graphicFrame macro="">
      <xdr:nvGraphicFramePr>
        <xdr:cNvPr id="4" name="Chart 3">
          <a:extLst>
            <a:ext uri="{FF2B5EF4-FFF2-40B4-BE49-F238E27FC236}">
              <a16:creationId xmlns:a16="http://schemas.microsoft.com/office/drawing/2014/main" id="{61944808-AADF-4C7D-B9FF-1CBD7AF25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250373</xdr:colOff>
      <xdr:row>28</xdr:row>
      <xdr:rowOff>108858</xdr:rowOff>
    </xdr:from>
    <xdr:to>
      <xdr:col>14</xdr:col>
      <xdr:colOff>631373</xdr:colOff>
      <xdr:row>45</xdr:row>
      <xdr:rowOff>108858</xdr:rowOff>
    </xdr:to>
    <xdr:graphicFrame macro="">
      <xdr:nvGraphicFramePr>
        <xdr:cNvPr id="5" name="Chart 4">
          <a:extLst>
            <a:ext uri="{FF2B5EF4-FFF2-40B4-BE49-F238E27FC236}">
              <a16:creationId xmlns:a16="http://schemas.microsoft.com/office/drawing/2014/main" id="{56787008-FEC9-41B3-B839-322F88E0D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718458</xdr:colOff>
      <xdr:row>28</xdr:row>
      <xdr:rowOff>92528</xdr:rowOff>
    </xdr:from>
    <xdr:to>
      <xdr:col>19</xdr:col>
      <xdr:colOff>97972</xdr:colOff>
      <xdr:row>45</xdr:row>
      <xdr:rowOff>76199</xdr:rowOff>
    </xdr:to>
    <xdr:graphicFrame macro="">
      <xdr:nvGraphicFramePr>
        <xdr:cNvPr id="6" name="Chart 5">
          <a:extLst>
            <a:ext uri="{FF2B5EF4-FFF2-40B4-BE49-F238E27FC236}">
              <a16:creationId xmlns:a16="http://schemas.microsoft.com/office/drawing/2014/main" id="{88738876-1F7C-42F7-87D1-47CEC3B8B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53340</xdr:colOff>
      <xdr:row>34</xdr:row>
      <xdr:rowOff>120015</xdr:rowOff>
    </xdr:from>
    <xdr:to>
      <xdr:col>13</xdr:col>
      <xdr:colOff>358140</xdr:colOff>
      <xdr:row>49</xdr:row>
      <xdr:rowOff>22860</xdr:rowOff>
    </xdr:to>
    <xdr:graphicFrame macro="">
      <xdr:nvGraphicFramePr>
        <xdr:cNvPr id="2" name="Chart 1">
          <a:extLst>
            <a:ext uri="{FF2B5EF4-FFF2-40B4-BE49-F238E27FC236}">
              <a16:creationId xmlns:a16="http://schemas.microsoft.com/office/drawing/2014/main" id="{4ADC1D40-C834-4657-9E07-C5680EC730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41</xdr:col>
      <xdr:colOff>45720</xdr:colOff>
      <xdr:row>1</xdr:row>
      <xdr:rowOff>97936</xdr:rowOff>
    </xdr:from>
    <xdr:to>
      <xdr:col>49</xdr:col>
      <xdr:colOff>350520</xdr:colOff>
      <xdr:row>3</xdr:row>
      <xdr:rowOff>49529</xdr:rowOff>
    </xdr:to>
    <xdr:pic>
      <xdr:nvPicPr>
        <xdr:cNvPr id="3" name="Picture 2">
          <a:extLst>
            <a:ext uri="{FF2B5EF4-FFF2-40B4-BE49-F238E27FC236}">
              <a16:creationId xmlns:a16="http://schemas.microsoft.com/office/drawing/2014/main" id="{DB494022-4BBE-4380-AE02-B879373F0DA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839295" y="288436"/>
          <a:ext cx="4829175" cy="332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39</xdr:col>
      <xdr:colOff>121920</xdr:colOff>
      <xdr:row>27</xdr:row>
      <xdr:rowOff>144780</xdr:rowOff>
    </xdr:from>
    <xdr:to>
      <xdr:col>47</xdr:col>
      <xdr:colOff>243840</xdr:colOff>
      <xdr:row>40</xdr:row>
      <xdr:rowOff>60960</xdr:rowOff>
    </xdr:to>
    <xdr:graphicFrame macro="">
      <xdr:nvGraphicFramePr>
        <xdr:cNvPr id="4" name="Chart 3">
          <a:extLst>
            <a:ext uri="{FF2B5EF4-FFF2-40B4-BE49-F238E27FC236}">
              <a16:creationId xmlns:a16="http://schemas.microsoft.com/office/drawing/2014/main" id="{366748D6-EA9B-4C10-90A6-5755EEA50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57149</xdr:colOff>
      <xdr:row>1</xdr:row>
      <xdr:rowOff>57151</xdr:rowOff>
    </xdr:from>
    <xdr:to>
      <xdr:col>11</xdr:col>
      <xdr:colOff>585107</xdr:colOff>
      <xdr:row>17</xdr:row>
      <xdr:rowOff>76200</xdr:rowOff>
    </xdr:to>
    <xdr:sp macro="" textlink="">
      <xdr:nvSpPr>
        <xdr:cNvPr id="2" name="TextBox 1">
          <a:extLst>
            <a:ext uri="{FF2B5EF4-FFF2-40B4-BE49-F238E27FC236}">
              <a16:creationId xmlns:a16="http://schemas.microsoft.com/office/drawing/2014/main" id="{C079735A-F5D9-487E-AE7E-A575C4C50FEE}"/>
            </a:ext>
          </a:extLst>
        </xdr:cNvPr>
        <xdr:cNvSpPr txBox="1"/>
      </xdr:nvSpPr>
      <xdr:spPr>
        <a:xfrm>
          <a:off x="57149" y="333376"/>
          <a:ext cx="9748158" cy="2971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71450" indent="-171450">
            <a:spcAft>
              <a:spcPts val="300"/>
            </a:spcAft>
            <a:buFont typeface="Arial" panose="020B0604020202020204" pitchFamily="34" charset="0"/>
            <a:buChar char="•"/>
          </a:pPr>
          <a:r>
            <a:rPr lang="en-US" sz="1200" i="1" baseline="0"/>
            <a:t>Currently produced in moderate to high elevation areas of major tributaries from the Snake River mouth to Hells Canyon Dam.</a:t>
          </a:r>
        </a:p>
        <a:p>
          <a:pPr marL="171450" indent="-171450">
            <a:spcAft>
              <a:spcPts val="300"/>
            </a:spcAft>
            <a:buFont typeface="Arial" panose="020B0604020202020204" pitchFamily="34" charset="0"/>
            <a:buChar char="•"/>
          </a:pPr>
          <a:r>
            <a:rPr lang="en-US" sz="1200" i="1" baseline="0"/>
            <a:t>Numerous historical production areas located upstream from the Hells Canyon Dam complex and is no longer accessible.</a:t>
          </a:r>
        </a:p>
        <a:p>
          <a:pPr marL="171450" indent="-171450">
            <a:spcAft>
              <a:spcPts val="300"/>
            </a:spcAft>
            <a:buFont typeface="Arial" panose="020B0604020202020204" pitchFamily="34" charset="0"/>
            <a:buChar char="•"/>
          </a:pPr>
          <a:r>
            <a:rPr lang="en-US" sz="1200" i="1" baseline="0"/>
            <a:t>Harvest occurs entirely in freshwater and has been substantially reduced from historical levels.</a:t>
          </a:r>
        </a:p>
        <a:p>
          <a:pPr marL="171450" marR="0" lvl="0" indent="-171450" defTabSz="914400" eaLnBrk="1" fontAlgn="auto" latinLnBrk="0" hangingPunct="1">
            <a:lnSpc>
              <a:spcPct val="100000"/>
            </a:lnSpc>
            <a:spcBef>
              <a:spcPts val="0"/>
            </a:spcBef>
            <a:spcAft>
              <a:spcPts val="300"/>
            </a:spcAft>
            <a:buClrTx/>
            <a:buSzTx/>
            <a:buFont typeface="Arial" panose="020B0604020202020204" pitchFamily="34" charset="0"/>
            <a:buChar char="•"/>
            <a:tabLst/>
            <a:defRPr/>
          </a:pPr>
          <a:r>
            <a:rPr lang="en-US" sz="1200" i="1" baseline="0">
              <a:solidFill>
                <a:schemeClr val="dk1"/>
              </a:solidFill>
              <a:effectLst/>
              <a:latin typeface="+mn-lt"/>
              <a:ea typeface="+mn-ea"/>
              <a:cs typeface="+mn-cs"/>
            </a:rPr>
            <a:t>Many populations are also limited by land and water use in spawning and rearing areas but others occur in high quality wilderness habitats.</a:t>
          </a:r>
        </a:p>
        <a:p>
          <a:pPr marL="171450" marR="0" lvl="0" indent="-171450" defTabSz="914400" eaLnBrk="1" fontAlgn="auto" latinLnBrk="0" hangingPunct="1">
            <a:lnSpc>
              <a:spcPct val="100000"/>
            </a:lnSpc>
            <a:spcBef>
              <a:spcPts val="0"/>
            </a:spcBef>
            <a:spcAft>
              <a:spcPts val="300"/>
            </a:spcAft>
            <a:buClrTx/>
            <a:buSzTx/>
            <a:buFont typeface="Arial" panose="020B0604020202020204" pitchFamily="34" charset="0"/>
            <a:buChar char="•"/>
            <a:tabLst/>
            <a:defRPr/>
          </a:pPr>
          <a:r>
            <a:rPr lang="en-US" sz="1200" i="1" baseline="0">
              <a:effectLst/>
            </a:rPr>
            <a:t>Significant hatchery production occurs as mitigation for human impacts.</a:t>
          </a:r>
        </a:p>
        <a:p>
          <a:pPr marL="0" marR="0" lvl="0" indent="0" defTabSz="914400" eaLnBrk="1" fontAlgn="auto" latinLnBrk="0" hangingPunct="1">
            <a:lnSpc>
              <a:spcPct val="100000"/>
            </a:lnSpc>
            <a:spcBef>
              <a:spcPts val="0"/>
            </a:spcBef>
            <a:spcAft>
              <a:spcPts val="300"/>
            </a:spcAft>
            <a:buClrTx/>
            <a:buSzTx/>
            <a:buFontTx/>
            <a:buNone/>
            <a:tabLst/>
            <a:defRPr/>
          </a:pPr>
          <a:r>
            <a:rPr lang="en-US" sz="1200" i="1" u="sng" baseline="0">
              <a:solidFill>
                <a:schemeClr val="dk1"/>
              </a:solidFill>
              <a:effectLst/>
              <a:latin typeface="+mn-lt"/>
              <a:ea typeface="+mn-ea"/>
              <a:cs typeface="+mn-cs"/>
            </a:rPr>
            <a:t>Key limiting factors include: </a:t>
          </a:r>
          <a:endParaRPr lang="en-US" sz="1200" u="sng">
            <a:effectLst/>
          </a:endParaRPr>
        </a:p>
        <a:p>
          <a:pPr marL="171450" lvl="0" indent="-171450">
            <a:spcAft>
              <a:spcPts val="300"/>
            </a:spcAft>
            <a:buFont typeface="Arial" panose="020B0604020202020204" pitchFamily="34" charset="0"/>
            <a:buChar char="•"/>
          </a:pPr>
          <a:r>
            <a:rPr lang="en-US" sz="1200" i="1">
              <a:solidFill>
                <a:schemeClr val="dk1"/>
              </a:solidFill>
              <a:effectLst/>
              <a:latin typeface="+mn-lt"/>
              <a:ea typeface="+mn-ea"/>
              <a:cs typeface="+mn-cs"/>
            </a:rPr>
            <a:t>Impairment of tributary habitat-forming processing and functions.</a:t>
          </a:r>
        </a:p>
        <a:p>
          <a:pPr marL="171450" lvl="0" indent="-171450">
            <a:spcAft>
              <a:spcPts val="300"/>
            </a:spcAft>
            <a:buFont typeface="Arial" panose="020B0604020202020204" pitchFamily="34" charset="0"/>
            <a:buChar char="•"/>
          </a:pPr>
          <a:r>
            <a:rPr lang="en-US" sz="1200" i="1">
              <a:solidFill>
                <a:schemeClr val="dk1"/>
              </a:solidFill>
              <a:effectLst/>
              <a:latin typeface="+mn-lt"/>
              <a:ea typeface="+mn-ea"/>
              <a:cs typeface="+mn-cs"/>
            </a:rPr>
            <a:t>Loss of historical habitat because of blocked or impaired fish passage.</a:t>
          </a:r>
        </a:p>
        <a:p>
          <a:pPr marL="171450" lvl="0" indent="-171450">
            <a:spcAft>
              <a:spcPts val="300"/>
            </a:spcAft>
            <a:buFont typeface="Arial" panose="020B0604020202020204" pitchFamily="34" charset="0"/>
            <a:buChar char="•"/>
          </a:pPr>
          <a:r>
            <a:rPr lang="en-US" sz="1200" i="1">
              <a:solidFill>
                <a:schemeClr val="dk1"/>
              </a:solidFill>
              <a:effectLst/>
              <a:latin typeface="+mn-lt"/>
              <a:ea typeface="+mn-ea"/>
              <a:cs typeface="+mn-cs"/>
            </a:rPr>
            <a:t>Altered hydrology, reduced flow levels, elevated water temperatures, and impingement or entrainment by irrigation diversions. </a:t>
          </a:r>
        </a:p>
        <a:p>
          <a:pPr marL="171450" lvl="0" indent="-171450">
            <a:spcAft>
              <a:spcPts val="300"/>
            </a:spcAft>
            <a:buFont typeface="Arial" panose="020B0604020202020204" pitchFamily="34" charset="0"/>
            <a:buChar char="•"/>
          </a:pPr>
          <a:r>
            <a:rPr lang="en-US" sz="1200" i="1">
              <a:solidFill>
                <a:schemeClr val="dk1"/>
              </a:solidFill>
              <a:effectLst/>
              <a:latin typeface="+mn-lt"/>
              <a:ea typeface="+mn-ea"/>
              <a:cs typeface="+mn-cs"/>
            </a:rPr>
            <a:t>Altered migration conditions and delayed passage due to hydrosystem development and management in Columbia and Snake Rivers.</a:t>
          </a:r>
        </a:p>
        <a:p>
          <a:pPr marL="171450" lvl="0" indent="-171450">
            <a:spcAft>
              <a:spcPts val="300"/>
            </a:spcAft>
            <a:buFont typeface="Arial" panose="020B0604020202020204" pitchFamily="34" charset="0"/>
            <a:buChar char="•"/>
          </a:pPr>
          <a:r>
            <a:rPr lang="en-US" sz="1200" i="1">
              <a:solidFill>
                <a:schemeClr val="dk1"/>
              </a:solidFill>
              <a:effectLst/>
              <a:latin typeface="+mn-lt"/>
              <a:ea typeface="+mn-ea"/>
              <a:cs typeface="+mn-cs"/>
            </a:rPr>
            <a:t>Increased pinniped and avian predation due to degraded estuarine and plume habitats, and to hydrosystem development/operation.</a:t>
          </a:r>
        </a:p>
        <a:p>
          <a:pPr marL="171450" lvl="0" indent="-171450">
            <a:spcAft>
              <a:spcPts val="300"/>
            </a:spcAft>
            <a:buFont typeface="Arial" panose="020B0604020202020204" pitchFamily="34" charset="0"/>
            <a:buChar char="•"/>
          </a:pPr>
          <a:r>
            <a:rPr lang="en-US" sz="1200" i="1">
              <a:solidFill>
                <a:schemeClr val="dk1"/>
              </a:solidFill>
              <a:effectLst/>
              <a:latin typeface="+mn-lt"/>
              <a:ea typeface="+mn-ea"/>
              <a:cs typeface="+mn-cs"/>
            </a:rPr>
            <a:t>Ongoing development of low-elevation habitats in private ownership.</a:t>
          </a:r>
        </a:p>
        <a:p>
          <a:pPr marL="171450" indent="-171450">
            <a:spcAft>
              <a:spcPts val="300"/>
            </a:spcAft>
            <a:buFont typeface="Arial" panose="020B0604020202020204" pitchFamily="34" charset="0"/>
            <a:buChar char="•"/>
          </a:pPr>
          <a:r>
            <a:rPr lang="en-US" sz="1200" i="1">
              <a:solidFill>
                <a:schemeClr val="dk1"/>
              </a:solidFill>
              <a:effectLst/>
              <a:latin typeface="+mn-lt"/>
              <a:ea typeface="+mn-ea"/>
              <a:cs typeface="+mn-cs"/>
            </a:rPr>
            <a:t>Mining – historical legacy impacts and potential future impacts.</a:t>
          </a:r>
          <a:endParaRPr lang="en-US" sz="1200" i="1">
            <a:effectLst/>
          </a:endParaRPr>
        </a:p>
      </xdr:txBody>
    </xdr:sp>
    <xdr:clientData/>
  </xdr:twoCellAnchor>
  <xdr:twoCellAnchor editAs="oneCell">
    <xdr:from>
      <xdr:col>0</xdr:col>
      <xdr:colOff>81642</xdr:colOff>
      <xdr:row>17</xdr:row>
      <xdr:rowOff>55752</xdr:rowOff>
    </xdr:from>
    <xdr:to>
      <xdr:col>10</xdr:col>
      <xdr:colOff>1537606</xdr:colOff>
      <xdr:row>55</xdr:row>
      <xdr:rowOff>159073</xdr:rowOff>
    </xdr:to>
    <xdr:pic>
      <xdr:nvPicPr>
        <xdr:cNvPr id="3" name="Picture 2">
          <a:extLst>
            <a:ext uri="{FF2B5EF4-FFF2-40B4-BE49-F238E27FC236}">
              <a16:creationId xmlns:a16="http://schemas.microsoft.com/office/drawing/2014/main" id="{95C5DAA1-4AA4-485F-8E2F-8F1874EDE93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442"/>
        <a:stretch/>
      </xdr:blipFill>
      <xdr:spPr bwMode="auto">
        <a:xfrm>
          <a:off x="81642" y="3284727"/>
          <a:ext cx="8866414" cy="7342321"/>
        </a:xfrm>
        <a:prstGeom prst="rect">
          <a:avLst/>
        </a:prstGeom>
        <a:noFill/>
        <a:ln>
          <a:solidFill>
            <a:schemeClr val="bg1">
              <a:lumMod val="50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1697412</xdr:colOff>
      <xdr:row>9</xdr:row>
      <xdr:rowOff>185058</xdr:rowOff>
    </xdr:from>
    <xdr:to>
      <xdr:col>19</xdr:col>
      <xdr:colOff>54428</xdr:colOff>
      <xdr:row>36</xdr:row>
      <xdr:rowOff>54071</xdr:rowOff>
    </xdr:to>
    <xdr:pic>
      <xdr:nvPicPr>
        <xdr:cNvPr id="4" name="Picture 3">
          <a:extLst>
            <a:ext uri="{FF2B5EF4-FFF2-40B4-BE49-F238E27FC236}">
              <a16:creationId xmlns:a16="http://schemas.microsoft.com/office/drawing/2014/main" id="{642633F5-94DA-4A0B-A888-EE23EF41E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07862" y="1890033"/>
          <a:ext cx="8024891" cy="5012513"/>
        </a:xfrm>
        <a:prstGeom prst="rect">
          <a:avLst/>
        </a:prstGeom>
        <a:noFill/>
        <a:ln>
          <a:solidFill>
            <a:schemeClr val="bg1">
              <a:lumMod val="5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1728108</xdr:colOff>
      <xdr:row>36</xdr:row>
      <xdr:rowOff>128995</xdr:rowOff>
    </xdr:from>
    <xdr:to>
      <xdr:col>14</xdr:col>
      <xdr:colOff>925286</xdr:colOff>
      <xdr:row>54</xdr:row>
      <xdr:rowOff>108857</xdr:rowOff>
    </xdr:to>
    <xdr:graphicFrame macro="">
      <xdr:nvGraphicFramePr>
        <xdr:cNvPr id="5" name="Chart 4">
          <a:extLst>
            <a:ext uri="{FF2B5EF4-FFF2-40B4-BE49-F238E27FC236}">
              <a16:creationId xmlns:a16="http://schemas.microsoft.com/office/drawing/2014/main" id="{EB7E0831-F86B-4330-9EAD-901F421779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54428</xdr:colOff>
      <xdr:row>37</xdr:row>
      <xdr:rowOff>50346</xdr:rowOff>
    </xdr:from>
    <xdr:to>
      <xdr:col>19</xdr:col>
      <xdr:colOff>40821</xdr:colOff>
      <xdr:row>54</xdr:row>
      <xdr:rowOff>95250</xdr:rowOff>
    </xdr:to>
    <xdr:graphicFrame macro="">
      <xdr:nvGraphicFramePr>
        <xdr:cNvPr id="6" name="Chart 5">
          <a:extLst>
            <a:ext uri="{FF2B5EF4-FFF2-40B4-BE49-F238E27FC236}">
              <a16:creationId xmlns:a16="http://schemas.microsoft.com/office/drawing/2014/main" id="{CF9016D8-20C6-4801-8EC7-E5F4A294B0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26</xdr:col>
      <xdr:colOff>129540</xdr:colOff>
      <xdr:row>6</xdr:row>
      <xdr:rowOff>106679</xdr:rowOff>
    </xdr:from>
    <xdr:to>
      <xdr:col>32</xdr:col>
      <xdr:colOff>434340</xdr:colOff>
      <xdr:row>42</xdr:row>
      <xdr:rowOff>22240</xdr:rowOff>
    </xdr:to>
    <xdr:pic>
      <xdr:nvPicPr>
        <xdr:cNvPr id="2" name="Picture 1">
          <a:extLst>
            <a:ext uri="{FF2B5EF4-FFF2-40B4-BE49-F238E27FC236}">
              <a16:creationId xmlns:a16="http://schemas.microsoft.com/office/drawing/2014/main" id="{2A023E79-845F-4F87-9FCA-58DB2351C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4290" y="1649729"/>
          <a:ext cx="3962400" cy="6792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0</xdr:rowOff>
    </xdr:from>
    <xdr:to>
      <xdr:col>9</xdr:col>
      <xdr:colOff>285750</xdr:colOff>
      <xdr:row>2</xdr:row>
      <xdr:rowOff>114300</xdr:rowOff>
    </xdr:to>
    <xdr:pic>
      <xdr:nvPicPr>
        <xdr:cNvPr id="3" name="Picture 2">
          <a:extLst>
            <a:ext uri="{FF2B5EF4-FFF2-40B4-BE49-F238E27FC236}">
              <a16:creationId xmlns:a16="http://schemas.microsoft.com/office/drawing/2014/main" id="{097162C9-888D-47C8-B49D-3BCEB17175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09550"/>
          <a:ext cx="5772150"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76200</xdr:colOff>
      <xdr:row>31</xdr:row>
      <xdr:rowOff>91440</xdr:rowOff>
    </xdr:from>
    <xdr:to>
      <xdr:col>49</xdr:col>
      <xdr:colOff>320040</xdr:colOff>
      <xdr:row>38</xdr:row>
      <xdr:rowOff>161925</xdr:rowOff>
    </xdr:to>
    <xdr:pic>
      <xdr:nvPicPr>
        <xdr:cNvPr id="4" name="Picture 3">
          <a:extLst>
            <a:ext uri="{FF2B5EF4-FFF2-40B4-BE49-F238E27FC236}">
              <a16:creationId xmlns:a16="http://schemas.microsoft.com/office/drawing/2014/main" id="{2E108856-9062-4C9F-A01A-415D3A33922F}"/>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59727"/>
        <a:stretch/>
      </xdr:blipFill>
      <xdr:spPr bwMode="auto">
        <a:xfrm>
          <a:off x="20126325" y="8692515"/>
          <a:ext cx="8892540" cy="1403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152400</xdr:colOff>
      <xdr:row>17</xdr:row>
      <xdr:rowOff>11430</xdr:rowOff>
    </xdr:from>
    <xdr:to>
      <xdr:col>23</xdr:col>
      <xdr:colOff>403860</xdr:colOff>
      <xdr:row>32</xdr:row>
      <xdr:rowOff>11430</xdr:rowOff>
    </xdr:to>
    <xdr:graphicFrame macro="">
      <xdr:nvGraphicFramePr>
        <xdr:cNvPr id="5" name="Chart 4">
          <a:extLst>
            <a:ext uri="{FF2B5EF4-FFF2-40B4-BE49-F238E27FC236}">
              <a16:creationId xmlns:a16="http://schemas.microsoft.com/office/drawing/2014/main" id="{9A9C0896-699E-4529-A04A-9BC3380223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123671</xdr:colOff>
      <xdr:row>1</xdr:row>
      <xdr:rowOff>46992</xdr:rowOff>
    </xdr:from>
    <xdr:to>
      <xdr:col>10</xdr:col>
      <xdr:colOff>424543</xdr:colOff>
      <xdr:row>10</xdr:row>
      <xdr:rowOff>0</xdr:rowOff>
    </xdr:to>
    <xdr:sp macro="" textlink="">
      <xdr:nvSpPr>
        <xdr:cNvPr id="2" name="TextBox 1">
          <a:extLst>
            <a:ext uri="{FF2B5EF4-FFF2-40B4-BE49-F238E27FC236}">
              <a16:creationId xmlns:a16="http://schemas.microsoft.com/office/drawing/2014/main" id="{300CB050-7D25-4851-9D45-82B685A4CB4A}"/>
            </a:ext>
          </a:extLst>
        </xdr:cNvPr>
        <xdr:cNvSpPr txBox="1"/>
      </xdr:nvSpPr>
      <xdr:spPr>
        <a:xfrm>
          <a:off x="123671" y="313692"/>
          <a:ext cx="6873122" cy="1543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71450" indent="-171450">
            <a:spcAft>
              <a:spcPts val="300"/>
            </a:spcAft>
            <a:buFont typeface="Arial" panose="020B0604020202020204" pitchFamily="34" charset="0"/>
            <a:buChar char="•"/>
          </a:pPr>
          <a:r>
            <a:rPr lang="en-US" sz="1100" i="1" baseline="0"/>
            <a:t>Currently produced in the Snake River mainstem between Lewiston and Hells Canyon Dam and portions of major tribtuaries.</a:t>
          </a:r>
        </a:p>
        <a:p>
          <a:pPr marL="171450" indent="-171450">
            <a:spcAft>
              <a:spcPts val="300"/>
            </a:spcAft>
            <a:buFont typeface="Arial" panose="020B0604020202020204" pitchFamily="34" charset="0"/>
            <a:buChar char="•"/>
          </a:pPr>
          <a:r>
            <a:rPr lang="en-US" sz="1100" i="1" baseline="0"/>
            <a:t>The majority of the historical habitat was located upstream from the Hells Canyon Dam complex and is no longer accessible.</a:t>
          </a:r>
        </a:p>
        <a:p>
          <a:pPr marL="171450" indent="-171450">
            <a:spcAft>
              <a:spcPts val="300"/>
            </a:spcAft>
            <a:buFont typeface="Arial" panose="020B0604020202020204" pitchFamily="34" charset="0"/>
            <a:buChar char="•"/>
          </a:pPr>
          <a:r>
            <a:rPr lang="en-US" sz="1100" i="1" baseline="0"/>
            <a:t>Classified for fishery management purposes as upriver bright Fall Chinook along with the healthy Hanford Reach stock.</a:t>
          </a:r>
        </a:p>
        <a:p>
          <a:pPr marL="171450" indent="-171450">
            <a:spcAft>
              <a:spcPts val="300"/>
            </a:spcAft>
            <a:buFont typeface="Arial" panose="020B0604020202020204" pitchFamily="34" charset="0"/>
            <a:buChar char="•"/>
          </a:pPr>
          <a:r>
            <a:rPr lang="en-US" sz="1100" i="1" baseline="0"/>
            <a:t>Harvest of this stock is significant in the ocean and in freshwater.</a:t>
          </a:r>
        </a:p>
        <a:p>
          <a:pPr marL="171450" marR="0" lvl="0" indent="-171450" defTabSz="914400" eaLnBrk="1" fontAlgn="auto" latinLnBrk="0" hangingPunct="1">
            <a:lnSpc>
              <a:spcPct val="100000"/>
            </a:lnSpc>
            <a:spcBef>
              <a:spcPts val="0"/>
            </a:spcBef>
            <a:spcAft>
              <a:spcPts val="300"/>
            </a:spcAft>
            <a:buClrTx/>
            <a:buSzTx/>
            <a:buFont typeface="Arial" panose="020B0604020202020204" pitchFamily="34" charset="0"/>
            <a:buChar char="•"/>
            <a:tabLst/>
            <a:defRPr/>
          </a:pPr>
          <a:r>
            <a:rPr lang="en-US" sz="1100" i="1" baseline="0">
              <a:solidFill>
                <a:schemeClr val="dk1"/>
              </a:solidFill>
              <a:effectLst/>
              <a:latin typeface="+mn-lt"/>
              <a:ea typeface="+mn-ea"/>
              <a:cs typeface="+mn-cs"/>
            </a:rPr>
            <a:t>Key limiting factors include effects of the Federal Power System and Hells Canyon Dam Complex on flow, hydrologic processes, and juvenile and adult passage.</a:t>
          </a:r>
        </a:p>
        <a:p>
          <a:pPr marL="171450" marR="0" lvl="0" indent="-171450" defTabSz="914400" eaLnBrk="1" fontAlgn="auto" latinLnBrk="0" hangingPunct="1">
            <a:lnSpc>
              <a:spcPct val="100000"/>
            </a:lnSpc>
            <a:spcBef>
              <a:spcPts val="0"/>
            </a:spcBef>
            <a:spcAft>
              <a:spcPts val="300"/>
            </a:spcAft>
            <a:buClrTx/>
            <a:buSzTx/>
            <a:buFont typeface="Arial" panose="020B0604020202020204" pitchFamily="34" charset="0"/>
            <a:buChar char="•"/>
            <a:tabLst/>
            <a:defRPr/>
          </a:pPr>
          <a:r>
            <a:rPr lang="en-US" sz="1100" i="1">
              <a:effectLst/>
            </a:rPr>
            <a:t>Hatchery</a:t>
          </a:r>
          <a:r>
            <a:rPr lang="en-US" sz="1100" i="1" baseline="0">
              <a:effectLst/>
            </a:rPr>
            <a:t> production has been instrumental in rebuilding a significant natural return and continues to produce a high proportion of the run.</a:t>
          </a:r>
          <a:endParaRPr lang="en-US" sz="1100" i="1">
            <a:effectLst/>
          </a:endParaRPr>
        </a:p>
      </xdr:txBody>
    </xdr:sp>
    <xdr:clientData/>
  </xdr:twoCellAnchor>
  <xdr:twoCellAnchor editAs="oneCell">
    <xdr:from>
      <xdr:col>0</xdr:col>
      <xdr:colOff>96458</xdr:colOff>
      <xdr:row>9</xdr:row>
      <xdr:rowOff>184752</xdr:rowOff>
    </xdr:from>
    <xdr:to>
      <xdr:col>8</xdr:col>
      <xdr:colOff>381000</xdr:colOff>
      <xdr:row>44</xdr:row>
      <xdr:rowOff>77559</xdr:rowOff>
    </xdr:to>
    <xdr:pic>
      <xdr:nvPicPr>
        <xdr:cNvPr id="3" name="Picture 2">
          <a:extLst>
            <a:ext uri="{FF2B5EF4-FFF2-40B4-BE49-F238E27FC236}">
              <a16:creationId xmlns:a16="http://schemas.microsoft.com/office/drawing/2014/main" id="{1F4DFB01-6F0C-4442-8955-E7621E590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458" y="1851627"/>
          <a:ext cx="5742367" cy="65603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436213</xdr:colOff>
      <xdr:row>26</xdr:row>
      <xdr:rowOff>87084</xdr:rowOff>
    </xdr:from>
    <xdr:to>
      <xdr:col>13</xdr:col>
      <xdr:colOff>283029</xdr:colOff>
      <xdr:row>42</xdr:row>
      <xdr:rowOff>65315</xdr:rowOff>
    </xdr:to>
    <xdr:graphicFrame macro="">
      <xdr:nvGraphicFramePr>
        <xdr:cNvPr id="4" name="Chart 3">
          <a:extLst>
            <a:ext uri="{FF2B5EF4-FFF2-40B4-BE49-F238E27FC236}">
              <a16:creationId xmlns:a16="http://schemas.microsoft.com/office/drawing/2014/main" id="{A6F037BB-DECA-4601-AA90-15023228AA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566057</xdr:colOff>
      <xdr:row>9</xdr:row>
      <xdr:rowOff>141516</xdr:rowOff>
    </xdr:from>
    <xdr:to>
      <xdr:col>18</xdr:col>
      <xdr:colOff>0</xdr:colOff>
      <xdr:row>26</xdr:row>
      <xdr:rowOff>54430</xdr:rowOff>
    </xdr:to>
    <xdr:pic>
      <xdr:nvPicPr>
        <xdr:cNvPr id="5" name="Picture 4">
          <a:extLst>
            <a:ext uri="{FF2B5EF4-FFF2-40B4-BE49-F238E27FC236}">
              <a16:creationId xmlns:a16="http://schemas.microsoft.com/office/drawing/2014/main" id="{58688189-196A-4CEC-8D96-3C0A38F0E043}"/>
            </a:ext>
          </a:extLst>
        </xdr:cNvPr>
        <xdr:cNvPicPr>
          <a:picLocks noChangeAspect="1"/>
        </xdr:cNvPicPr>
      </xdr:nvPicPr>
      <xdr:blipFill rotWithShape="1">
        <a:blip xmlns:r="http://schemas.openxmlformats.org/officeDocument/2006/relationships" r:embed="rId3"/>
        <a:srcRect l="1041" t="2693" r="1397" b="2424"/>
        <a:stretch/>
      </xdr:blipFill>
      <xdr:spPr>
        <a:xfrm>
          <a:off x="6023882" y="1808391"/>
          <a:ext cx="6882493" cy="3151414"/>
        </a:xfrm>
        <a:prstGeom prst="rect">
          <a:avLst/>
        </a:prstGeom>
        <a:ln>
          <a:noFill/>
        </a:ln>
      </xdr:spPr>
    </xdr:pic>
    <xdr:clientData/>
  </xdr:twoCellAnchor>
  <xdr:twoCellAnchor>
    <xdr:from>
      <xdr:col>13</xdr:col>
      <xdr:colOff>283029</xdr:colOff>
      <xdr:row>26</xdr:row>
      <xdr:rowOff>168727</xdr:rowOff>
    </xdr:from>
    <xdr:to>
      <xdr:col>18</xdr:col>
      <xdr:colOff>97971</xdr:colOff>
      <xdr:row>42</xdr:row>
      <xdr:rowOff>97971</xdr:rowOff>
    </xdr:to>
    <xdr:graphicFrame macro="">
      <xdr:nvGraphicFramePr>
        <xdr:cNvPr id="6" name="Chart 5">
          <a:extLst>
            <a:ext uri="{FF2B5EF4-FFF2-40B4-BE49-F238E27FC236}">
              <a16:creationId xmlns:a16="http://schemas.microsoft.com/office/drawing/2014/main" id="{0EEE2FE3-B903-451B-9AB8-9028AFEED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28</xdr:col>
      <xdr:colOff>195262</xdr:colOff>
      <xdr:row>6</xdr:row>
      <xdr:rowOff>52387</xdr:rowOff>
    </xdr:from>
    <xdr:to>
      <xdr:col>35</xdr:col>
      <xdr:colOff>500062</xdr:colOff>
      <xdr:row>20</xdr:row>
      <xdr:rowOff>4762</xdr:rowOff>
    </xdr:to>
    <xdr:graphicFrame macro="">
      <xdr:nvGraphicFramePr>
        <xdr:cNvPr id="2" name="Chart 1">
          <a:extLst>
            <a:ext uri="{FF2B5EF4-FFF2-40B4-BE49-F238E27FC236}">
              <a16:creationId xmlns:a16="http://schemas.microsoft.com/office/drawing/2014/main" id="{09E51A32-2D1C-41F1-9FCB-FD48B69F56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37</xdr:col>
      <xdr:colOff>365760</xdr:colOff>
      <xdr:row>6</xdr:row>
      <xdr:rowOff>7620</xdr:rowOff>
    </xdr:from>
    <xdr:to>
      <xdr:col>45</xdr:col>
      <xdr:colOff>45720</xdr:colOff>
      <xdr:row>19</xdr:row>
      <xdr:rowOff>142875</xdr:rowOff>
    </xdr:to>
    <xdr:graphicFrame macro="">
      <xdr:nvGraphicFramePr>
        <xdr:cNvPr id="3" name="Chart 2">
          <a:extLst>
            <a:ext uri="{FF2B5EF4-FFF2-40B4-BE49-F238E27FC236}">
              <a16:creationId xmlns:a16="http://schemas.microsoft.com/office/drawing/2014/main" id="{F9874200-F736-405C-B249-8C3A6B7C3B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91015</xdr:colOff>
      <xdr:row>1</xdr:row>
      <xdr:rowOff>46992</xdr:rowOff>
    </xdr:from>
    <xdr:to>
      <xdr:col>11</xdr:col>
      <xdr:colOff>381000</xdr:colOff>
      <xdr:row>10</xdr:row>
      <xdr:rowOff>105834</xdr:rowOff>
    </xdr:to>
    <xdr:sp macro="" textlink="">
      <xdr:nvSpPr>
        <xdr:cNvPr id="2" name="TextBox 1">
          <a:extLst>
            <a:ext uri="{FF2B5EF4-FFF2-40B4-BE49-F238E27FC236}">
              <a16:creationId xmlns:a16="http://schemas.microsoft.com/office/drawing/2014/main" id="{E50120F7-E17D-4611-8805-D725FB07121A}"/>
            </a:ext>
          </a:extLst>
        </xdr:cNvPr>
        <xdr:cNvSpPr txBox="1"/>
      </xdr:nvSpPr>
      <xdr:spPr>
        <a:xfrm>
          <a:off x="195790" y="313692"/>
          <a:ext cx="7157510" cy="16590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71450" indent="-171450">
            <a:spcAft>
              <a:spcPts val="300"/>
            </a:spcAft>
            <a:buFont typeface="Arial" panose="020B0604020202020204" pitchFamily="34" charset="0"/>
            <a:buChar char="•"/>
          </a:pPr>
          <a:r>
            <a:rPr lang="en-US" sz="1100" i="1" baseline="0"/>
            <a:t>A listing, all populations but one (Redfish Lake in the Sawtooth Valley) were gone.</a:t>
          </a:r>
        </a:p>
        <a:p>
          <a:pPr marL="171450" indent="-171450">
            <a:spcAft>
              <a:spcPts val="300"/>
            </a:spcAft>
            <a:buFont typeface="Arial" panose="020B0604020202020204" pitchFamily="34" charset="0"/>
            <a:buChar char="•"/>
          </a:pPr>
          <a:r>
            <a:rPr lang="en-US" sz="1100" i="1" baseline="0"/>
            <a:t>Numbers had dwindled to fewer than 10 fish per year and in some years no Sockeye returned. </a:t>
          </a:r>
        </a:p>
        <a:p>
          <a:pPr marL="171450" indent="-171450">
            <a:spcAft>
              <a:spcPts val="300"/>
            </a:spcAft>
            <a:buFont typeface="Arial" panose="020B0604020202020204" pitchFamily="34" charset="0"/>
            <a:buChar char="•"/>
          </a:pPr>
          <a:r>
            <a:rPr lang="en-US" sz="1100" i="1" baseline="0"/>
            <a:t>Populations had disappeared from five other Stanley Basin Lakes, the Payette system upstream from Hells Canyon, and Wallowa Lake in the upper Grande Ronde.</a:t>
          </a:r>
        </a:p>
        <a:p>
          <a:pPr marL="171450" indent="-171450">
            <a:spcAft>
              <a:spcPts val="300"/>
            </a:spcAft>
            <a:buFont typeface="Arial" panose="020B0604020202020204" pitchFamily="34" charset="0"/>
            <a:buChar char="•"/>
          </a:pPr>
          <a:r>
            <a:rPr lang="en-US" sz="1100" i="1" baseline="0"/>
            <a:t>The listing decision attributed the decline to overfishing, irrigation diversions, obstacles to migrating fish, and eradication through poisoning. Migration survival of adults and juveniles through the Snake and Columbia River mainstems continue to be limiting.</a:t>
          </a:r>
        </a:p>
        <a:p>
          <a:pPr marL="171450" marR="0" lvl="0" indent="-171450" defTabSz="914400" eaLnBrk="1" fontAlgn="auto" latinLnBrk="0" hangingPunct="1">
            <a:lnSpc>
              <a:spcPct val="100000"/>
            </a:lnSpc>
            <a:spcBef>
              <a:spcPts val="0"/>
            </a:spcBef>
            <a:spcAft>
              <a:spcPts val="300"/>
            </a:spcAft>
            <a:buClrTx/>
            <a:buSzTx/>
            <a:buFont typeface="Arial" panose="020B0604020202020204" pitchFamily="34" charset="0"/>
            <a:buChar char="•"/>
            <a:tabLst/>
            <a:defRPr/>
          </a:pPr>
          <a:r>
            <a:rPr lang="en-US" sz="1100" i="1" baseline="0">
              <a:solidFill>
                <a:schemeClr val="dk1"/>
              </a:solidFill>
              <a:effectLst/>
              <a:latin typeface="+mn-lt"/>
              <a:ea typeface="+mn-ea"/>
              <a:cs typeface="+mn-cs"/>
            </a:rPr>
            <a:t>Extinction was prevented by an intensive conservation aquaculture program with captive broodstock beginning in 1991.</a:t>
          </a:r>
        </a:p>
        <a:p>
          <a:pPr marL="171450" marR="0" lvl="0" indent="-171450" defTabSz="914400" eaLnBrk="1" fontAlgn="auto" latinLnBrk="0" hangingPunct="1">
            <a:lnSpc>
              <a:spcPct val="100000"/>
            </a:lnSpc>
            <a:spcBef>
              <a:spcPts val="0"/>
            </a:spcBef>
            <a:spcAft>
              <a:spcPts val="300"/>
            </a:spcAft>
            <a:buClrTx/>
            <a:buSzTx/>
            <a:buFont typeface="Arial" panose="020B0604020202020204" pitchFamily="34" charset="0"/>
            <a:buChar char="•"/>
            <a:tabLst/>
            <a:defRPr/>
          </a:pPr>
          <a:r>
            <a:rPr lang="en-US" sz="1100" i="1" baseline="0">
              <a:solidFill>
                <a:schemeClr val="dk1"/>
              </a:solidFill>
              <a:effectLst/>
              <a:latin typeface="+mn-lt"/>
              <a:ea typeface="+mn-ea"/>
              <a:cs typeface="+mn-cs"/>
            </a:rPr>
            <a:t>Hatchery fish are currently being released into Redfish, Petit and Alturus Lakes.</a:t>
          </a:r>
          <a:endParaRPr lang="en-US" sz="1100">
            <a:effectLst/>
          </a:endParaRPr>
        </a:p>
      </xdr:txBody>
    </xdr:sp>
    <xdr:clientData/>
  </xdr:twoCellAnchor>
  <xdr:twoCellAnchor editAs="oneCell">
    <xdr:from>
      <xdr:col>1</xdr:col>
      <xdr:colOff>16933</xdr:colOff>
      <xdr:row>10</xdr:row>
      <xdr:rowOff>16935</xdr:rowOff>
    </xdr:from>
    <xdr:to>
      <xdr:col>8</xdr:col>
      <xdr:colOff>116417</xdr:colOff>
      <xdr:row>40</xdr:row>
      <xdr:rowOff>31751</xdr:rowOff>
    </xdr:to>
    <xdr:pic>
      <xdr:nvPicPr>
        <xdr:cNvPr id="3" name="Picture">
          <a:extLst>
            <a:ext uri="{FF2B5EF4-FFF2-40B4-BE49-F238E27FC236}">
              <a16:creationId xmlns:a16="http://schemas.microsoft.com/office/drawing/2014/main" id="{7A17972A-8455-4A08-B12B-E5A0E05ACFE2}"/>
            </a:ext>
          </a:extLst>
        </xdr:cNvPr>
        <xdr:cNvPicPr/>
      </xdr:nvPicPr>
      <xdr:blipFill rotWithShape="1">
        <a:blip xmlns:r="http://schemas.openxmlformats.org/officeDocument/2006/relationships" r:embed="rId1"/>
        <a:srcRect r="24445"/>
        <a:stretch/>
      </xdr:blipFill>
      <xdr:spPr>
        <a:xfrm>
          <a:off x="121708" y="1883835"/>
          <a:ext cx="5500159" cy="5691716"/>
        </a:xfrm>
        <a:prstGeom prst="rect">
          <a:avLst/>
        </a:prstGeom>
      </xdr:spPr>
    </xdr:pic>
    <xdr:clientData/>
  </xdr:twoCellAnchor>
  <xdr:twoCellAnchor>
    <xdr:from>
      <xdr:col>8</xdr:col>
      <xdr:colOff>148166</xdr:colOff>
      <xdr:row>9</xdr:row>
      <xdr:rowOff>137582</xdr:rowOff>
    </xdr:from>
    <xdr:to>
      <xdr:col>19</xdr:col>
      <xdr:colOff>52918</xdr:colOff>
      <xdr:row>25</xdr:row>
      <xdr:rowOff>0</xdr:rowOff>
    </xdr:to>
    <xdr:graphicFrame macro="">
      <xdr:nvGraphicFramePr>
        <xdr:cNvPr id="4" name="Chart 3">
          <a:extLst>
            <a:ext uri="{FF2B5EF4-FFF2-40B4-BE49-F238E27FC236}">
              <a16:creationId xmlns:a16="http://schemas.microsoft.com/office/drawing/2014/main" id="{41220888-70C1-48C2-8A5E-219FC9A266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317499</xdr:colOff>
      <xdr:row>24</xdr:row>
      <xdr:rowOff>52918</xdr:rowOff>
    </xdr:from>
    <xdr:to>
      <xdr:col>13</xdr:col>
      <xdr:colOff>518584</xdr:colOff>
      <xdr:row>38</xdr:row>
      <xdr:rowOff>116418</xdr:rowOff>
    </xdr:to>
    <xdr:graphicFrame macro="">
      <xdr:nvGraphicFramePr>
        <xdr:cNvPr id="5" name="Chart 4">
          <a:extLst>
            <a:ext uri="{FF2B5EF4-FFF2-40B4-BE49-F238E27FC236}">
              <a16:creationId xmlns:a16="http://schemas.microsoft.com/office/drawing/2014/main" id="{A99F7A1F-FE91-4077-B53F-1BAAAA5C6E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412749</xdr:colOff>
      <xdr:row>25</xdr:row>
      <xdr:rowOff>84668</xdr:rowOff>
    </xdr:from>
    <xdr:to>
      <xdr:col>18</xdr:col>
      <xdr:colOff>190499</xdr:colOff>
      <xdr:row>26</xdr:row>
      <xdr:rowOff>179918</xdr:rowOff>
    </xdr:to>
    <xdr:sp macro="" textlink="">
      <xdr:nvSpPr>
        <xdr:cNvPr id="6" name="TextBox 5">
          <a:extLst>
            <a:ext uri="{FF2B5EF4-FFF2-40B4-BE49-F238E27FC236}">
              <a16:creationId xmlns:a16="http://schemas.microsoft.com/office/drawing/2014/main" id="{DDF0514A-B827-4715-AC0A-8933196E7D85}"/>
            </a:ext>
          </a:extLst>
        </xdr:cNvPr>
        <xdr:cNvSpPr txBox="1"/>
      </xdr:nvSpPr>
      <xdr:spPr>
        <a:xfrm>
          <a:off x="10585449" y="4770968"/>
          <a:ext cx="1768475"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Hatchery Releases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601980</xdr:colOff>
      <xdr:row>5</xdr:row>
      <xdr:rowOff>53340</xdr:rowOff>
    </xdr:from>
    <xdr:to>
      <xdr:col>19</xdr:col>
      <xdr:colOff>175260</xdr:colOff>
      <xdr:row>20</xdr:row>
      <xdr:rowOff>53340</xdr:rowOff>
    </xdr:to>
    <xdr:graphicFrame macro="">
      <xdr:nvGraphicFramePr>
        <xdr:cNvPr id="2" name="Chart 1">
          <a:extLst>
            <a:ext uri="{FF2B5EF4-FFF2-40B4-BE49-F238E27FC236}">
              <a16:creationId xmlns:a16="http://schemas.microsoft.com/office/drawing/2014/main" id="{6C099987-8414-4AA9-A3D6-698B1D534C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529590</xdr:colOff>
      <xdr:row>22</xdr:row>
      <xdr:rowOff>184785</xdr:rowOff>
    </xdr:from>
    <xdr:to>
      <xdr:col>31</xdr:col>
      <xdr:colOff>205740</xdr:colOff>
      <xdr:row>37</xdr:row>
      <xdr:rowOff>165735</xdr:rowOff>
    </xdr:to>
    <xdr:graphicFrame macro="">
      <xdr:nvGraphicFramePr>
        <xdr:cNvPr id="3" name="Chart 2">
          <a:extLst>
            <a:ext uri="{FF2B5EF4-FFF2-40B4-BE49-F238E27FC236}">
              <a16:creationId xmlns:a16="http://schemas.microsoft.com/office/drawing/2014/main" id="{06467DE5-387D-44AA-89CE-50ABAE55F9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edmondson\AppData\Local\Microsoft\Windows\INetCache\Content.Outlook\8782WUSR\CBP%20Goals%20Snake%20STHD%20v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edmondson\AppData\Local\Microsoft\Windows\INetCache\Content.Outlook\8782WUSR\CBP%20Goals%20Snake%20SpSu%20CHK%20v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edmondson\AppData\Local\Microsoft\Windows\INetCache\Content.Outlook\8782WUSR\CBP%20Goals%20Snake%20Fall%20CHK%20v0.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medmondson\AppData\Local\Microsoft\Windows\INetCache\Content.Outlook\8782WUSR\CBP%20Goals%20Snake%20Sockeye%20v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Run"/>
    </sheetNames>
    <sheetDataSet>
      <sheetData sheetId="0">
        <row r="51">
          <cell r="K51" t="str">
            <v>Tucannon</v>
          </cell>
          <cell r="O51">
            <v>100000</v>
          </cell>
        </row>
        <row r="52">
          <cell r="K52" t="str">
            <v>Lyons Ferry/Irrigon/Wallowa</v>
          </cell>
          <cell r="O52">
            <v>1160000</v>
          </cell>
        </row>
        <row r="53">
          <cell r="K53" t="str">
            <v>Irrigon-Imnaha</v>
          </cell>
          <cell r="O53">
            <v>215000</v>
          </cell>
        </row>
        <row r="54">
          <cell r="K54" t="str">
            <v>Dworshak</v>
          </cell>
          <cell r="O54">
            <v>2100000</v>
          </cell>
        </row>
        <row r="55">
          <cell r="K55" t="str">
            <v>Clearwater</v>
          </cell>
          <cell r="O55">
            <v>843000</v>
          </cell>
        </row>
        <row r="56">
          <cell r="K56" t="str">
            <v>Hagerman</v>
          </cell>
          <cell r="O56">
            <v>1560000</v>
          </cell>
        </row>
        <row r="57">
          <cell r="K57" t="str">
            <v>Magic Valley</v>
          </cell>
          <cell r="O57">
            <v>1550000</v>
          </cell>
        </row>
        <row r="58">
          <cell r="K58" t="str">
            <v>Niagara Spr.</v>
          </cell>
          <cell r="O58">
            <v>1800000</v>
          </cell>
        </row>
      </sheetData>
      <sheetData sheetId="1">
        <row r="7">
          <cell r="M7">
            <v>81768</v>
          </cell>
          <cell r="P7">
            <v>17317</v>
          </cell>
          <cell r="R7">
            <v>1991</v>
          </cell>
        </row>
        <row r="8">
          <cell r="M8">
            <v>108986</v>
          </cell>
          <cell r="P8">
            <v>19394</v>
          </cell>
          <cell r="R8">
            <v>1992</v>
          </cell>
        </row>
        <row r="9">
          <cell r="M9">
            <v>50552</v>
          </cell>
          <cell r="P9">
            <v>9122</v>
          </cell>
          <cell r="R9">
            <v>1993</v>
          </cell>
        </row>
        <row r="10">
          <cell r="M10">
            <v>39134</v>
          </cell>
          <cell r="P10">
            <v>8104</v>
          </cell>
          <cell r="R10">
            <v>1994</v>
          </cell>
        </row>
        <row r="11">
          <cell r="M11">
            <v>71090</v>
          </cell>
          <cell r="P11">
            <v>8055</v>
          </cell>
          <cell r="R11">
            <v>1995</v>
          </cell>
        </row>
        <row r="12">
          <cell r="M12">
            <v>79286</v>
          </cell>
          <cell r="P12">
            <v>7625</v>
          </cell>
          <cell r="R12">
            <v>1996</v>
          </cell>
        </row>
        <row r="13">
          <cell r="M13">
            <v>77897</v>
          </cell>
          <cell r="P13">
            <v>8749</v>
          </cell>
          <cell r="R13">
            <v>1997</v>
          </cell>
        </row>
        <row r="14">
          <cell r="M14">
            <v>61287</v>
          </cell>
          <cell r="P14">
            <v>9375</v>
          </cell>
          <cell r="R14">
            <v>1998</v>
          </cell>
        </row>
        <row r="15">
          <cell r="M15">
            <v>62953</v>
          </cell>
          <cell r="P15">
            <v>11098</v>
          </cell>
          <cell r="R15">
            <v>1999</v>
          </cell>
        </row>
        <row r="16">
          <cell r="M16">
            <v>96727</v>
          </cell>
          <cell r="P16">
            <v>20575</v>
          </cell>
          <cell r="R16">
            <v>2000</v>
          </cell>
        </row>
        <row r="17">
          <cell r="M17">
            <v>227747</v>
          </cell>
          <cell r="P17">
            <v>40719</v>
          </cell>
          <cell r="R17">
            <v>2001</v>
          </cell>
        </row>
        <row r="18">
          <cell r="M18">
            <v>180245</v>
          </cell>
          <cell r="P18">
            <v>41931</v>
          </cell>
          <cell r="R18">
            <v>2002</v>
          </cell>
        </row>
        <row r="19">
          <cell r="M19">
            <v>143364</v>
          </cell>
          <cell r="P19">
            <v>29146</v>
          </cell>
          <cell r="R19">
            <v>2003</v>
          </cell>
        </row>
        <row r="20">
          <cell r="M20">
            <v>128575</v>
          </cell>
          <cell r="P20">
            <v>23071</v>
          </cell>
          <cell r="R20">
            <v>2004</v>
          </cell>
        </row>
        <row r="21">
          <cell r="M21">
            <v>140035</v>
          </cell>
          <cell r="P21">
            <v>18130</v>
          </cell>
          <cell r="R21">
            <v>2005</v>
          </cell>
        </row>
        <row r="22">
          <cell r="M22">
            <v>139656</v>
          </cell>
          <cell r="P22">
            <v>9510</v>
          </cell>
          <cell r="R22">
            <v>2006</v>
          </cell>
        </row>
        <row r="23">
          <cell r="M23">
            <v>140976</v>
          </cell>
          <cell r="P23">
            <v>14166</v>
          </cell>
          <cell r="R23">
            <v>2007</v>
          </cell>
        </row>
        <row r="24">
          <cell r="M24">
            <v>154994</v>
          </cell>
          <cell r="P24">
            <v>23876</v>
          </cell>
          <cell r="R24">
            <v>2008</v>
          </cell>
        </row>
        <row r="25">
          <cell r="M25">
            <v>280643</v>
          </cell>
          <cell r="P25">
            <v>42739</v>
          </cell>
          <cell r="R25">
            <v>2009</v>
          </cell>
        </row>
        <row r="26">
          <cell r="M26">
            <v>164163</v>
          </cell>
          <cell r="P26">
            <v>44133</v>
          </cell>
          <cell r="R26">
            <v>2010</v>
          </cell>
        </row>
        <row r="27">
          <cell r="M27">
            <v>140881</v>
          </cell>
          <cell r="P27">
            <v>39439</v>
          </cell>
          <cell r="R27">
            <v>2011</v>
          </cell>
        </row>
        <row r="28">
          <cell r="M28">
            <v>86043</v>
          </cell>
          <cell r="P28">
            <v>23143</v>
          </cell>
          <cell r="R28">
            <v>2012</v>
          </cell>
        </row>
        <row r="29">
          <cell r="M29">
            <v>82799</v>
          </cell>
          <cell r="P29">
            <v>25355</v>
          </cell>
          <cell r="R29">
            <v>2013</v>
          </cell>
        </row>
        <row r="30">
          <cell r="M30">
            <v>116360</v>
          </cell>
          <cell r="P30">
            <v>48108</v>
          </cell>
          <cell r="R30">
            <v>2014</v>
          </cell>
        </row>
        <row r="31">
          <cell r="M31">
            <v>99373</v>
          </cell>
          <cell r="P31">
            <v>36776</v>
          </cell>
          <cell r="R31">
            <v>2015</v>
          </cell>
        </row>
        <row r="32">
          <cell r="AY32" t="str">
            <v>A-index</v>
          </cell>
          <cell r="AZ32">
            <v>1.2E-2</v>
          </cell>
          <cell r="BA32">
            <v>6.2700000000000006E-2</v>
          </cell>
        </row>
        <row r="33">
          <cell r="AY33" t="str">
            <v>B-index</v>
          </cell>
          <cell r="AZ33">
            <v>0.02</v>
          </cell>
          <cell r="BA33">
            <v>0.16850000000000001</v>
          </cell>
        </row>
        <row r="34">
          <cell r="E34">
            <v>110760.09090909091</v>
          </cell>
          <cell r="F34">
            <v>24946.545454545456</v>
          </cell>
          <cell r="J34">
            <v>24520.363636363636</v>
          </cell>
          <cell r="K34">
            <v>4771.272727272727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ary"/>
      <sheetName val="Run"/>
      <sheetName val="Conversions"/>
    </sheetNames>
    <sheetDataSet>
      <sheetData sheetId="0" refreshError="1"/>
      <sheetData sheetId="1">
        <row r="61">
          <cell r="L61" t="str">
            <v>Johnson Cr</v>
          </cell>
          <cell r="O61">
            <v>150000</v>
          </cell>
        </row>
        <row r="62">
          <cell r="L62" t="str">
            <v>S Fk Salmon</v>
          </cell>
          <cell r="O62">
            <v>1000000</v>
          </cell>
        </row>
        <row r="63">
          <cell r="L63" t="str">
            <v>Curtis/Cabin Cr.</v>
          </cell>
        </row>
        <row r="64">
          <cell r="L64" t="str">
            <v>Pahsimeroi</v>
          </cell>
          <cell r="O64">
            <v>1000000</v>
          </cell>
        </row>
        <row r="65">
          <cell r="L65" t="str">
            <v>Panther Cr</v>
          </cell>
          <cell r="O65" t="str">
            <v>TBD</v>
          </cell>
        </row>
        <row r="66">
          <cell r="L66" t="str">
            <v>Walla Walla</v>
          </cell>
          <cell r="O66">
            <v>250000</v>
          </cell>
        </row>
        <row r="67">
          <cell r="L67" t="str">
            <v>Tucannon</v>
          </cell>
          <cell r="O67">
            <v>225500</v>
          </cell>
        </row>
        <row r="68">
          <cell r="L68" t="str">
            <v>Asotin Cr</v>
          </cell>
          <cell r="O68" t="str">
            <v>TBD</v>
          </cell>
        </row>
        <row r="69">
          <cell r="L69" t="str">
            <v>Catherine Cr</v>
          </cell>
          <cell r="O69">
            <v>150000</v>
          </cell>
        </row>
        <row r="70">
          <cell r="L70" t="str">
            <v>U Grande Ronde</v>
          </cell>
          <cell r="O70">
            <v>250000</v>
          </cell>
        </row>
        <row r="71">
          <cell r="L71" t="str">
            <v xml:space="preserve">Lostine </v>
          </cell>
          <cell r="O71">
            <v>250000</v>
          </cell>
        </row>
        <row r="72">
          <cell r="L72" t="str">
            <v>lookingglass Cr</v>
          </cell>
          <cell r="O72">
            <v>250000</v>
          </cell>
        </row>
        <row r="73">
          <cell r="L73" t="str">
            <v>Imnaha</v>
          </cell>
          <cell r="O73">
            <v>490000</v>
          </cell>
        </row>
        <row r="74">
          <cell r="L74" t="str">
            <v>Rapid</v>
          </cell>
          <cell r="O74">
            <v>2500000</v>
          </cell>
        </row>
        <row r="75">
          <cell r="L75" t="str">
            <v>Little Salmon</v>
          </cell>
          <cell r="O75">
            <v>150000</v>
          </cell>
        </row>
        <row r="76">
          <cell r="L76" t="str">
            <v>Hells Cyn Snake R</v>
          </cell>
          <cell r="O76">
            <v>350000</v>
          </cell>
        </row>
        <row r="77">
          <cell r="L77" t="str">
            <v>Salmon R</v>
          </cell>
          <cell r="O77">
            <v>1800000</v>
          </cell>
        </row>
        <row r="78">
          <cell r="L78" t="str">
            <v>Yankee Fork Salmon</v>
          </cell>
          <cell r="O78">
            <v>300000</v>
          </cell>
        </row>
        <row r="79">
          <cell r="L79" t="str">
            <v>Meadow (Selway)</v>
          </cell>
        </row>
        <row r="80">
          <cell r="L80" t="str">
            <v>Lolo Cr</v>
          </cell>
        </row>
        <row r="81">
          <cell r="L81" t="str">
            <v>Newsome Cr</v>
          </cell>
        </row>
        <row r="82">
          <cell r="L82" t="str">
            <v>Clearwater R</v>
          </cell>
          <cell r="O82">
            <v>200000</v>
          </cell>
        </row>
        <row r="83">
          <cell r="L83" t="str">
            <v>U Selway R</v>
          </cell>
        </row>
        <row r="84">
          <cell r="L84" t="str">
            <v>NF Clearwater R</v>
          </cell>
          <cell r="O84">
            <v>1050000</v>
          </cell>
        </row>
        <row r="85">
          <cell r="L85" t="str">
            <v>Clear Cr</v>
          </cell>
          <cell r="O85">
            <v>650000</v>
          </cell>
        </row>
        <row r="86">
          <cell r="L86" t="str">
            <v>Other locations</v>
          </cell>
          <cell r="O86">
            <v>1000000</v>
          </cell>
        </row>
        <row r="87">
          <cell r="L87" t="str">
            <v>Clear Cr</v>
          </cell>
          <cell r="O87">
            <v>900000</v>
          </cell>
        </row>
        <row r="88">
          <cell r="L88" t="str">
            <v>Red River</v>
          </cell>
          <cell r="O88">
            <v>1200000</v>
          </cell>
        </row>
      </sheetData>
      <sheetData sheetId="2">
        <row r="6">
          <cell r="Q6" t="str">
            <v>Non-treaty Comm</v>
          </cell>
          <cell r="R6" t="str">
            <v>Non-treaty Sport</v>
          </cell>
          <cell r="S6" t="str">
            <v>Treaty</v>
          </cell>
        </row>
        <row r="44">
          <cell r="Q44">
            <v>2.2447712514009541E-2</v>
          </cell>
          <cell r="R44">
            <v>7.2360714765767511E-2</v>
          </cell>
          <cell r="S44">
            <v>9.3193692151671448E-2</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stainability"/>
      <sheetName val="Fishery"/>
      <sheetName val="Hatchery"/>
      <sheetName val="Runs"/>
      <sheetName val="References"/>
      <sheetName val="Scratch"/>
      <sheetName val="differences"/>
    </sheetNames>
    <sheetDataSet>
      <sheetData sheetId="0">
        <row r="55">
          <cell r="B55" t="str">
            <v>Lyons Ferry Hatchery</v>
          </cell>
          <cell r="E55">
            <v>3000000</v>
          </cell>
        </row>
        <row r="56">
          <cell r="B56" t="str">
            <v>Nez Perce Tribal Hatchery</v>
          </cell>
          <cell r="E56">
            <v>1500000</v>
          </cell>
        </row>
        <row r="57">
          <cell r="B57" t="str">
            <v>Idaho Power Program</v>
          </cell>
          <cell r="E57">
            <v>1000000</v>
          </cell>
        </row>
      </sheetData>
      <sheetData sheetId="1">
        <row r="6">
          <cell r="D6">
            <v>6418</v>
          </cell>
          <cell r="V6">
            <v>4200</v>
          </cell>
          <cell r="W6">
            <v>7500</v>
          </cell>
          <cell r="X6">
            <v>14360</v>
          </cell>
        </row>
        <row r="10">
          <cell r="W10">
            <v>15484</v>
          </cell>
          <cell r="X10">
            <v>24750</v>
          </cell>
        </row>
      </sheetData>
      <sheetData sheetId="2">
        <row r="8">
          <cell r="U8" t="str">
            <v>Zone 6 tribal</v>
          </cell>
          <cell r="V8">
            <v>0.14964679521990507</v>
          </cell>
        </row>
        <row r="9">
          <cell r="U9" t="str">
            <v>LCR comm. &amp; sport</v>
          </cell>
          <cell r="V9">
            <v>8.6422729560238734E-2</v>
          </cell>
        </row>
        <row r="10">
          <cell r="U10" t="str">
            <v>OR/WA ocean</v>
          </cell>
          <cell r="V10">
            <v>9.7899999999999987E-2</v>
          </cell>
        </row>
        <row r="11">
          <cell r="U11" t="str">
            <v>Canada ocean</v>
          </cell>
          <cell r="V11">
            <v>7.4699999999999989E-2</v>
          </cell>
        </row>
        <row r="12">
          <cell r="U12" t="str">
            <v>Alaska ocean</v>
          </cell>
          <cell r="V12">
            <v>2.2300000000000004E-2</v>
          </cell>
        </row>
      </sheetData>
      <sheetData sheetId="3" refreshError="1"/>
      <sheetData sheetId="4">
        <row r="3">
          <cell r="Y3" t="str">
            <v>hatch</v>
          </cell>
        </row>
        <row r="16">
          <cell r="B16">
            <v>1986</v>
          </cell>
          <cell r="X16">
            <v>448.98999999999995</v>
          </cell>
          <cell r="Y16">
            <v>312.01000000000005</v>
          </cell>
        </row>
        <row r="17">
          <cell r="B17">
            <v>1987</v>
          </cell>
          <cell r="X17">
            <v>252.56000000000003</v>
          </cell>
          <cell r="Y17">
            <v>649.43999999999994</v>
          </cell>
        </row>
        <row r="18">
          <cell r="B18">
            <v>1988</v>
          </cell>
          <cell r="X18">
            <v>365.4</v>
          </cell>
          <cell r="Y18">
            <v>243.60000000000002</v>
          </cell>
        </row>
        <row r="19">
          <cell r="B19">
            <v>1989</v>
          </cell>
          <cell r="X19">
            <v>297.88</v>
          </cell>
          <cell r="Y19">
            <v>379.12</v>
          </cell>
        </row>
        <row r="20">
          <cell r="B20">
            <v>1990</v>
          </cell>
          <cell r="X20">
            <v>79.25</v>
          </cell>
          <cell r="Y20">
            <v>237.75</v>
          </cell>
        </row>
        <row r="21">
          <cell r="B21">
            <v>1991</v>
          </cell>
          <cell r="X21">
            <v>319.76000000000005</v>
          </cell>
          <cell r="Y21">
            <v>251.23999999999995</v>
          </cell>
        </row>
        <row r="22">
          <cell r="B22">
            <v>1992</v>
          </cell>
          <cell r="X22">
            <v>547.79999999999995</v>
          </cell>
          <cell r="Y22">
            <v>112.20000000000005</v>
          </cell>
        </row>
        <row r="23">
          <cell r="B23">
            <v>1993</v>
          </cell>
          <cell r="X23">
            <v>740.23</v>
          </cell>
          <cell r="Y23">
            <v>196.76999999999998</v>
          </cell>
        </row>
        <row r="24">
          <cell r="B24">
            <v>1994</v>
          </cell>
          <cell r="X24">
            <v>408.47999999999996</v>
          </cell>
          <cell r="Y24">
            <v>183.52000000000004</v>
          </cell>
        </row>
        <row r="25">
          <cell r="B25">
            <v>1995</v>
          </cell>
          <cell r="X25">
            <v>351.69</v>
          </cell>
          <cell r="Y25">
            <v>265.31</v>
          </cell>
        </row>
        <row r="26">
          <cell r="B26">
            <v>1996</v>
          </cell>
          <cell r="X26">
            <v>638.29</v>
          </cell>
          <cell r="Y26">
            <v>260.71000000000004</v>
          </cell>
        </row>
        <row r="27">
          <cell r="B27">
            <v>1997</v>
          </cell>
          <cell r="X27">
            <v>793.6</v>
          </cell>
          <cell r="Y27">
            <v>198.39999999999998</v>
          </cell>
        </row>
        <row r="28">
          <cell r="B28">
            <v>1998</v>
          </cell>
          <cell r="X28">
            <v>302.28000000000003</v>
          </cell>
          <cell r="Y28">
            <v>613.72</v>
          </cell>
        </row>
        <row r="29">
          <cell r="B29">
            <v>1999</v>
          </cell>
          <cell r="X29">
            <v>897.5</v>
          </cell>
          <cell r="Y29">
            <v>897.5</v>
          </cell>
        </row>
        <row r="30">
          <cell r="B30">
            <v>2000</v>
          </cell>
          <cell r="X30">
            <v>1151.1000000000001</v>
          </cell>
          <cell r="Y30">
            <v>1406.8999999999999</v>
          </cell>
        </row>
        <row r="31">
          <cell r="B31">
            <v>2001</v>
          </cell>
          <cell r="X31">
            <v>5154.3</v>
          </cell>
          <cell r="Y31">
            <v>4390.7</v>
          </cell>
        </row>
        <row r="32">
          <cell r="B32">
            <v>2002</v>
          </cell>
          <cell r="X32">
            <v>2149.81</v>
          </cell>
          <cell r="Y32">
            <v>7197.1900000000005</v>
          </cell>
        </row>
        <row r="33">
          <cell r="B33">
            <v>2003</v>
          </cell>
          <cell r="X33">
            <v>3480.1200000000003</v>
          </cell>
          <cell r="Y33">
            <v>8948.8799999999992</v>
          </cell>
        </row>
        <row r="34">
          <cell r="B34">
            <v>2004</v>
          </cell>
          <cell r="X34">
            <v>6087.9000000000005</v>
          </cell>
          <cell r="Y34">
            <v>9522.0999999999985</v>
          </cell>
        </row>
        <row r="35">
          <cell r="B35">
            <v>2005</v>
          </cell>
          <cell r="X35">
            <v>4565.04</v>
          </cell>
          <cell r="Y35">
            <v>5358.96</v>
          </cell>
        </row>
        <row r="36">
          <cell r="B36">
            <v>2006</v>
          </cell>
          <cell r="X36">
            <v>3955.85</v>
          </cell>
          <cell r="Y36">
            <v>2529.15</v>
          </cell>
        </row>
        <row r="37">
          <cell r="B37">
            <v>2007</v>
          </cell>
          <cell r="X37">
            <v>2840.36</v>
          </cell>
          <cell r="Y37">
            <v>5513.6399999999994</v>
          </cell>
        </row>
        <row r="38">
          <cell r="B38">
            <v>2008</v>
          </cell>
          <cell r="X38">
            <v>2981.25</v>
          </cell>
          <cell r="Y38">
            <v>8943.75</v>
          </cell>
        </row>
        <row r="39">
          <cell r="B39">
            <v>2009</v>
          </cell>
          <cell r="X39">
            <v>4343.8499999999995</v>
          </cell>
          <cell r="Y39">
            <v>16341.150000000001</v>
          </cell>
        </row>
        <row r="40">
          <cell r="B40">
            <v>2010</v>
          </cell>
          <cell r="X40">
            <v>7555.16</v>
          </cell>
          <cell r="Y40">
            <v>32208.84</v>
          </cell>
        </row>
        <row r="41">
          <cell r="B41">
            <v>2011</v>
          </cell>
          <cell r="X41">
            <v>8017.2000000000007</v>
          </cell>
          <cell r="Y41">
            <v>15562.8</v>
          </cell>
        </row>
        <row r="42">
          <cell r="B42">
            <v>2012</v>
          </cell>
          <cell r="X42">
            <v>11234.31</v>
          </cell>
          <cell r="Y42">
            <v>19128.690000000002</v>
          </cell>
        </row>
        <row r="43">
          <cell r="B43">
            <v>2013</v>
          </cell>
          <cell r="X43">
            <v>20495.600000000002</v>
          </cell>
          <cell r="Y43">
            <v>30743.399999999998</v>
          </cell>
        </row>
        <row r="44">
          <cell r="B44">
            <v>2014</v>
          </cell>
          <cell r="X44">
            <v>13247.25</v>
          </cell>
          <cell r="Y44">
            <v>39741.75</v>
          </cell>
        </row>
        <row r="45">
          <cell r="B45">
            <v>2015</v>
          </cell>
          <cell r="X45">
            <v>16212</v>
          </cell>
          <cell r="Y45">
            <v>42151</v>
          </cell>
        </row>
        <row r="46">
          <cell r="B46">
            <v>2016</v>
          </cell>
          <cell r="X46">
            <v>9741</v>
          </cell>
        </row>
        <row r="48">
          <cell r="Y48">
            <v>14369.477042133831</v>
          </cell>
        </row>
        <row r="57">
          <cell r="T57">
            <v>1994</v>
          </cell>
          <cell r="AQ57">
            <v>205</v>
          </cell>
          <cell r="AS57">
            <v>406</v>
          </cell>
        </row>
        <row r="58">
          <cell r="T58">
            <v>1995</v>
          </cell>
          <cell r="AQ58">
            <v>322</v>
          </cell>
          <cell r="AS58">
            <v>350</v>
          </cell>
        </row>
        <row r="59">
          <cell r="T59">
            <v>1996</v>
          </cell>
          <cell r="AQ59">
            <v>280</v>
          </cell>
          <cell r="AS59">
            <v>639</v>
          </cell>
        </row>
        <row r="60">
          <cell r="T60">
            <v>1997</v>
          </cell>
          <cell r="AQ60">
            <v>21</v>
          </cell>
          <cell r="AS60">
            <v>1013</v>
          </cell>
        </row>
        <row r="61">
          <cell r="T61">
            <v>1998</v>
          </cell>
          <cell r="AQ61">
            <v>729</v>
          </cell>
          <cell r="AS61">
            <v>306</v>
          </cell>
        </row>
        <row r="62">
          <cell r="T62">
            <v>1999</v>
          </cell>
          <cell r="AQ62">
            <v>956</v>
          </cell>
          <cell r="AS62">
            <v>905</v>
          </cell>
        </row>
        <row r="63">
          <cell r="T63">
            <v>2000</v>
          </cell>
          <cell r="AQ63">
            <v>1516</v>
          </cell>
          <cell r="AS63">
            <v>1148</v>
          </cell>
        </row>
        <row r="64">
          <cell r="T64">
            <v>2001</v>
          </cell>
          <cell r="AQ64">
            <v>5344</v>
          </cell>
          <cell r="AS64">
            <v>5163</v>
          </cell>
        </row>
        <row r="65">
          <cell r="T65">
            <v>2002</v>
          </cell>
          <cell r="AQ65">
            <v>7999</v>
          </cell>
          <cell r="AS65">
            <v>2116</v>
          </cell>
        </row>
        <row r="66">
          <cell r="T66">
            <v>2003</v>
          </cell>
          <cell r="AQ66">
            <v>6233.7792203730005</v>
          </cell>
          <cell r="AS66">
            <v>5300.9034130516948</v>
          </cell>
        </row>
        <row r="67">
          <cell r="T67">
            <v>2004</v>
          </cell>
          <cell r="AQ67">
            <v>9203.0685963245087</v>
          </cell>
          <cell r="AS67">
            <v>5840.5896988085215</v>
          </cell>
        </row>
        <row r="68">
          <cell r="T68">
            <v>2005</v>
          </cell>
          <cell r="AQ68">
            <v>5206.5347906682518</v>
          </cell>
          <cell r="AS68">
            <v>4524.0062060205419</v>
          </cell>
        </row>
        <row r="69">
          <cell r="T69">
            <v>2006</v>
          </cell>
          <cell r="AQ69">
            <v>2401.8346250129703</v>
          </cell>
          <cell r="AS69">
            <v>3942.3251211478337</v>
          </cell>
        </row>
        <row r="70">
          <cell r="T70">
            <v>2007</v>
          </cell>
          <cell r="AQ70">
            <v>5375.4684777608018</v>
          </cell>
          <cell r="AS70">
            <v>2796.4080450646643</v>
          </cell>
        </row>
        <row r="71">
          <cell r="T71">
            <v>2008</v>
          </cell>
          <cell r="AQ71">
            <v>8531.2989305385217</v>
          </cell>
          <cell r="AS71">
            <v>2931.7358040435893</v>
          </cell>
        </row>
        <row r="72">
          <cell r="T72">
            <v>2009</v>
          </cell>
          <cell r="AQ72">
            <v>16057.084243087649</v>
          </cell>
          <cell r="AS72">
            <v>4238.970114283924</v>
          </cell>
        </row>
        <row r="73">
          <cell r="T73">
            <v>2010</v>
          </cell>
          <cell r="AQ73">
            <v>30895.223920751556</v>
          </cell>
          <cell r="AS73">
            <v>7288.4933591764575</v>
          </cell>
        </row>
        <row r="74">
          <cell r="T74">
            <v>2011</v>
          </cell>
          <cell r="AQ74">
            <v>14590.935907575898</v>
          </cell>
          <cell r="AS74">
            <v>7942.8295351540683</v>
          </cell>
        </row>
        <row r="75">
          <cell r="T75">
            <v>2012</v>
          </cell>
          <cell r="AQ75">
            <v>17829.093751821463</v>
          </cell>
          <cell r="AS75">
            <v>11201.732801110395</v>
          </cell>
        </row>
        <row r="76">
          <cell r="T76">
            <v>2013</v>
          </cell>
          <cell r="AQ76">
            <v>27179.480805150099</v>
          </cell>
          <cell r="AS76">
            <v>19893.74405128225</v>
          </cell>
        </row>
        <row r="77">
          <cell r="T77">
            <v>2014</v>
          </cell>
          <cell r="AQ77">
            <v>37971.933064503646</v>
          </cell>
          <cell r="AS77">
            <v>13055.967677098939</v>
          </cell>
        </row>
        <row r="78">
          <cell r="T78">
            <v>2015</v>
          </cell>
          <cell r="AQ78">
            <v>35176.078780233991</v>
          </cell>
          <cell r="AS78">
            <v>14895.884339076521</v>
          </cell>
        </row>
        <row r="79">
          <cell r="T79">
            <v>2016</v>
          </cell>
          <cell r="AQ79">
            <v>22262.568622407394</v>
          </cell>
          <cell r="AS79">
            <v>8650.8863534717275</v>
          </cell>
        </row>
        <row r="80">
          <cell r="T80">
            <v>2017</v>
          </cell>
          <cell r="AQ80">
            <v>11155</v>
          </cell>
          <cell r="AS80">
            <v>6158</v>
          </cell>
        </row>
      </sheetData>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Run"/>
    </sheetNames>
    <sheetDataSet>
      <sheetData sheetId="0"/>
      <sheetData sheetId="1">
        <row r="3">
          <cell r="J3" t="str">
            <v>Columbia R Nontreaty</v>
          </cell>
          <cell r="K3" t="str">
            <v>Columbia R Treaty</v>
          </cell>
        </row>
        <row r="5">
          <cell r="B5">
            <v>1980</v>
          </cell>
          <cell r="T5">
            <v>96</v>
          </cell>
          <cell r="U5">
            <v>11</v>
          </cell>
        </row>
        <row r="6">
          <cell r="B6">
            <v>1981</v>
          </cell>
          <cell r="T6">
            <v>218</v>
          </cell>
          <cell r="U6">
            <v>18</v>
          </cell>
        </row>
        <row r="7">
          <cell r="B7">
            <v>1982</v>
          </cell>
          <cell r="T7">
            <v>211</v>
          </cell>
          <cell r="U7">
            <v>46</v>
          </cell>
        </row>
        <row r="8">
          <cell r="B8">
            <v>1983</v>
          </cell>
          <cell r="T8">
            <v>216</v>
          </cell>
          <cell r="U8">
            <v>25</v>
          </cell>
        </row>
        <row r="9">
          <cell r="B9">
            <v>1984</v>
          </cell>
          <cell r="T9">
            <v>105</v>
          </cell>
          <cell r="U9">
            <v>43</v>
          </cell>
        </row>
        <row r="10">
          <cell r="B10">
            <v>1985</v>
          </cell>
          <cell r="T10">
            <v>35</v>
          </cell>
          <cell r="U10">
            <v>24</v>
          </cell>
        </row>
        <row r="11">
          <cell r="B11">
            <v>1986</v>
          </cell>
          <cell r="T11">
            <v>20</v>
          </cell>
          <cell r="U11">
            <v>4</v>
          </cell>
        </row>
        <row r="12">
          <cell r="B12">
            <v>1987</v>
          </cell>
          <cell r="T12">
            <v>29</v>
          </cell>
          <cell r="U12">
            <v>26</v>
          </cell>
        </row>
        <row r="13">
          <cell r="B13">
            <v>1988</v>
          </cell>
          <cell r="T13">
            <v>23</v>
          </cell>
          <cell r="U13">
            <v>22</v>
          </cell>
        </row>
        <row r="14">
          <cell r="B14">
            <v>1989</v>
          </cell>
          <cell r="T14">
            <v>4</v>
          </cell>
          <cell r="U14">
            <v>0</v>
          </cell>
        </row>
        <row r="15">
          <cell r="B15">
            <v>1990</v>
          </cell>
          <cell r="T15">
            <v>1</v>
          </cell>
          <cell r="U15">
            <v>0</v>
          </cell>
        </row>
        <row r="16">
          <cell r="B16">
            <v>1991</v>
          </cell>
          <cell r="T16">
            <v>9</v>
          </cell>
          <cell r="U16">
            <v>1</v>
          </cell>
        </row>
        <row r="17">
          <cell r="B17">
            <v>1992</v>
          </cell>
          <cell r="T17">
            <v>2</v>
          </cell>
          <cell r="U17">
            <v>0</v>
          </cell>
        </row>
        <row r="18">
          <cell r="B18">
            <v>1993</v>
          </cell>
          <cell r="T18">
            <v>17</v>
          </cell>
          <cell r="U18">
            <v>1</v>
          </cell>
        </row>
        <row r="19">
          <cell r="B19">
            <v>1994</v>
          </cell>
          <cell r="T19">
            <v>3</v>
          </cell>
          <cell r="U19">
            <v>0</v>
          </cell>
        </row>
        <row r="20">
          <cell r="B20">
            <v>1995</v>
          </cell>
          <cell r="T20">
            <v>5</v>
          </cell>
          <cell r="U20">
            <v>0</v>
          </cell>
        </row>
        <row r="21">
          <cell r="B21">
            <v>1996</v>
          </cell>
          <cell r="T21">
            <v>3</v>
          </cell>
          <cell r="U21">
            <v>0</v>
          </cell>
        </row>
        <row r="22">
          <cell r="B22">
            <v>1997</v>
          </cell>
          <cell r="T22">
            <v>17</v>
          </cell>
          <cell r="U22">
            <v>1</v>
          </cell>
        </row>
        <row r="23">
          <cell r="B23">
            <v>1998</v>
          </cell>
          <cell r="T23">
            <v>3</v>
          </cell>
          <cell r="U23">
            <v>1</v>
          </cell>
        </row>
        <row r="24">
          <cell r="B24">
            <v>1999</v>
          </cell>
          <cell r="O24">
            <v>0</v>
          </cell>
          <cell r="P24">
            <v>7</v>
          </cell>
          <cell r="T24">
            <v>11</v>
          </cell>
          <cell r="U24">
            <v>1</v>
          </cell>
        </row>
        <row r="25">
          <cell r="B25">
            <v>2000</v>
          </cell>
          <cell r="O25">
            <v>10</v>
          </cell>
          <cell r="P25">
            <v>233</v>
          </cell>
          <cell r="T25">
            <v>80</v>
          </cell>
          <cell r="U25">
            <v>15</v>
          </cell>
        </row>
        <row r="26">
          <cell r="B26">
            <v>2001</v>
          </cell>
          <cell r="O26">
            <v>4</v>
          </cell>
          <cell r="P26">
            <v>19</v>
          </cell>
          <cell r="T26">
            <v>19</v>
          </cell>
          <cell r="U26">
            <v>4</v>
          </cell>
        </row>
        <row r="27">
          <cell r="B27">
            <v>2002</v>
          </cell>
          <cell r="O27">
            <v>6</v>
          </cell>
          <cell r="P27">
            <v>9</v>
          </cell>
          <cell r="T27">
            <v>50</v>
          </cell>
          <cell r="U27">
            <v>4</v>
          </cell>
        </row>
        <row r="28">
          <cell r="B28">
            <v>2003</v>
          </cell>
          <cell r="O28">
            <v>0</v>
          </cell>
          <cell r="P28">
            <v>2</v>
          </cell>
          <cell r="T28">
            <v>23</v>
          </cell>
          <cell r="U28">
            <v>2</v>
          </cell>
        </row>
        <row r="29">
          <cell r="B29">
            <v>2004</v>
          </cell>
          <cell r="O29">
            <v>4</v>
          </cell>
          <cell r="P29">
            <v>20</v>
          </cell>
          <cell r="T29">
            <v>86</v>
          </cell>
          <cell r="U29">
            <v>4</v>
          </cell>
        </row>
        <row r="30">
          <cell r="B30">
            <v>2005</v>
          </cell>
          <cell r="O30">
            <v>2</v>
          </cell>
          <cell r="P30">
            <v>4</v>
          </cell>
          <cell r="T30">
            <v>13</v>
          </cell>
          <cell r="U30">
            <v>1</v>
          </cell>
        </row>
        <row r="31">
          <cell r="B31">
            <v>2006</v>
          </cell>
          <cell r="O31">
            <v>1</v>
          </cell>
          <cell r="P31">
            <v>2</v>
          </cell>
          <cell r="T31">
            <v>13</v>
          </cell>
          <cell r="U31">
            <v>44</v>
          </cell>
        </row>
        <row r="32">
          <cell r="B32">
            <v>2007</v>
          </cell>
          <cell r="O32">
            <v>3</v>
          </cell>
          <cell r="P32">
            <v>1</v>
          </cell>
          <cell r="T32">
            <v>51</v>
          </cell>
          <cell r="U32">
            <v>3</v>
          </cell>
        </row>
        <row r="33">
          <cell r="B33">
            <v>2008</v>
          </cell>
          <cell r="O33">
            <v>140</v>
          </cell>
          <cell r="P33">
            <v>456</v>
          </cell>
          <cell r="T33">
            <v>260</v>
          </cell>
          <cell r="U33">
            <v>71</v>
          </cell>
        </row>
        <row r="34">
          <cell r="B34">
            <v>2009</v>
          </cell>
          <cell r="O34">
            <v>86</v>
          </cell>
          <cell r="P34">
            <v>730</v>
          </cell>
          <cell r="T34">
            <v>572</v>
          </cell>
          <cell r="U34">
            <v>84</v>
          </cell>
        </row>
        <row r="35">
          <cell r="B35">
            <v>2010</v>
          </cell>
          <cell r="O35">
            <v>178</v>
          </cell>
          <cell r="P35">
            <v>1144</v>
          </cell>
          <cell r="T35">
            <v>1037</v>
          </cell>
          <cell r="U35">
            <v>159</v>
          </cell>
        </row>
        <row r="36">
          <cell r="B36">
            <v>2011</v>
          </cell>
          <cell r="O36">
            <v>145</v>
          </cell>
          <cell r="P36">
            <v>954</v>
          </cell>
          <cell r="T36">
            <v>383</v>
          </cell>
          <cell r="U36">
            <v>298</v>
          </cell>
        </row>
        <row r="37">
          <cell r="B37">
            <v>2012</v>
          </cell>
          <cell r="O37">
            <v>52</v>
          </cell>
          <cell r="P37">
            <v>190</v>
          </cell>
          <cell r="T37">
            <v>189</v>
          </cell>
          <cell r="U37">
            <v>66</v>
          </cell>
        </row>
        <row r="38">
          <cell r="B38">
            <v>2013</v>
          </cell>
          <cell r="O38">
            <v>79</v>
          </cell>
          <cell r="P38">
            <v>191</v>
          </cell>
          <cell r="T38">
            <v>485</v>
          </cell>
          <cell r="U38">
            <v>380</v>
          </cell>
        </row>
        <row r="39">
          <cell r="B39">
            <v>2014</v>
          </cell>
          <cell r="O39">
            <v>453</v>
          </cell>
          <cell r="P39">
            <v>1062</v>
          </cell>
          <cell r="T39">
            <v>1208</v>
          </cell>
          <cell r="U39">
            <v>139</v>
          </cell>
        </row>
        <row r="40">
          <cell r="B40">
            <v>2015</v>
          </cell>
          <cell r="O40">
            <v>26.872813422145867</v>
          </cell>
          <cell r="P40">
            <v>64.127186577854133</v>
          </cell>
          <cell r="T40">
            <v>349</v>
          </cell>
          <cell r="U40">
            <v>1300</v>
          </cell>
        </row>
        <row r="41">
          <cell r="B41">
            <v>2016</v>
          </cell>
          <cell r="O41">
            <v>175.70685699095372</v>
          </cell>
          <cell r="P41">
            <v>419.29314300904628</v>
          </cell>
          <cell r="T41">
            <v>220</v>
          </cell>
          <cell r="U41">
            <v>129</v>
          </cell>
        </row>
        <row r="44">
          <cell r="C44">
            <v>1414.9</v>
          </cell>
          <cell r="D44">
            <v>5.9</v>
          </cell>
          <cell r="E44">
            <v>79.900000000000006</v>
          </cell>
          <cell r="F44">
            <v>85.8</v>
          </cell>
          <cell r="G44">
            <v>1152</v>
          </cell>
          <cell r="J44">
            <v>4.4416767897870512E-3</v>
          </cell>
          <cell r="K44">
            <v>5.6641998426563443E-2</v>
          </cell>
          <cell r="N44">
            <v>674.8</v>
          </cell>
          <cell r="O44">
            <v>133.85796704130993</v>
          </cell>
          <cell r="P44">
            <v>521.14203295869015</v>
          </cell>
        </row>
        <row r="45">
          <cell r="P45">
            <v>0.79563669153998484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ppersnakerivertribes.org/app/uploads/2018/09/FRG-USRTsProposedFisheriesResourceManagementProgram_April-2018-2-1.pdf" TargetMode="External"/><Relationship Id="rId1" Type="http://schemas.openxmlformats.org/officeDocument/2006/relationships/hyperlink" Target="https://uppersnakerivertribes.org/app/uploads/2018/09/FRG-USRTsProposedFisheriesResourceManagementProgram_April-2018-2-1.pdf"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4C95-1CA2-4331-888B-8E678D980E68}">
  <dimension ref="A1:G105"/>
  <sheetViews>
    <sheetView tabSelected="1" workbookViewId="0">
      <pane ySplit="1" topLeftCell="A59" activePane="bottomLeft" state="frozen"/>
      <selection pane="bottomLeft" activeCell="C72" sqref="C72"/>
    </sheetView>
  </sheetViews>
  <sheetFormatPr defaultRowHeight="15" x14ac:dyDescent="0.25"/>
  <cols>
    <col min="2" max="2" width="12.85546875" customWidth="1"/>
    <col min="3" max="3" width="96.42578125" style="3" customWidth="1"/>
    <col min="4" max="4" width="10.28515625" customWidth="1"/>
  </cols>
  <sheetData>
    <row r="1" spans="1:4" s="1" customFormat="1" x14ac:dyDescent="0.25">
      <c r="A1" s="1" t="s">
        <v>597</v>
      </c>
      <c r="B1" s="1" t="s">
        <v>13</v>
      </c>
      <c r="C1" s="2" t="s">
        <v>14</v>
      </c>
    </row>
    <row r="2" spans="1:4" x14ac:dyDescent="0.25">
      <c r="A2">
        <v>9</v>
      </c>
      <c r="B2" t="s">
        <v>565</v>
      </c>
      <c r="C2" s="3" t="s">
        <v>562</v>
      </c>
    </row>
    <row r="3" spans="1:4" x14ac:dyDescent="0.25">
      <c r="A3">
        <v>15</v>
      </c>
      <c r="B3" t="s">
        <v>589</v>
      </c>
      <c r="C3" s="3" t="s">
        <v>596</v>
      </c>
    </row>
    <row r="4" spans="1:4" x14ac:dyDescent="0.25">
      <c r="A4">
        <v>17</v>
      </c>
      <c r="B4" t="s">
        <v>589</v>
      </c>
      <c r="C4" s="3" t="s">
        <v>599</v>
      </c>
    </row>
    <row r="5" spans="1:4" x14ac:dyDescent="0.25">
      <c r="A5">
        <v>17</v>
      </c>
      <c r="B5" t="s">
        <v>589</v>
      </c>
      <c r="C5" s="3" t="s">
        <v>601</v>
      </c>
    </row>
    <row r="6" spans="1:4" x14ac:dyDescent="0.25">
      <c r="A6">
        <v>19</v>
      </c>
      <c r="B6" t="s">
        <v>589</v>
      </c>
      <c r="C6" s="3" t="s">
        <v>609</v>
      </c>
    </row>
    <row r="7" spans="1:4" x14ac:dyDescent="0.25">
      <c r="A7">
        <v>2</v>
      </c>
      <c r="B7" t="s">
        <v>3</v>
      </c>
      <c r="C7" s="4" t="s">
        <v>10</v>
      </c>
    </row>
    <row r="8" spans="1:4" x14ac:dyDescent="0.25">
      <c r="A8">
        <v>4</v>
      </c>
      <c r="B8" t="s">
        <v>3</v>
      </c>
      <c r="C8" s="3" t="s">
        <v>19</v>
      </c>
    </row>
    <row r="9" spans="1:4" x14ac:dyDescent="0.25">
      <c r="A9">
        <v>4</v>
      </c>
      <c r="B9" t="s">
        <v>3</v>
      </c>
      <c r="C9" s="3" t="s">
        <v>20</v>
      </c>
    </row>
    <row r="10" spans="1:4" x14ac:dyDescent="0.25">
      <c r="A10">
        <v>7</v>
      </c>
      <c r="B10" t="s">
        <v>3</v>
      </c>
      <c r="C10" s="3" t="s">
        <v>30</v>
      </c>
      <c r="D10" t="s">
        <v>560</v>
      </c>
    </row>
    <row r="11" spans="1:4" ht="30" x14ac:dyDescent="0.25">
      <c r="A11">
        <v>8</v>
      </c>
      <c r="B11" t="s">
        <v>3</v>
      </c>
      <c r="C11" s="3" t="s">
        <v>561</v>
      </c>
    </row>
    <row r="12" spans="1:4" ht="30" x14ac:dyDescent="0.25">
      <c r="A12">
        <v>9</v>
      </c>
      <c r="B12" t="s">
        <v>3</v>
      </c>
      <c r="C12" s="3" t="s">
        <v>563</v>
      </c>
    </row>
    <row r="13" spans="1:4" x14ac:dyDescent="0.25">
      <c r="A13">
        <v>10</v>
      </c>
      <c r="B13" t="s">
        <v>3</v>
      </c>
      <c r="C13" s="3" t="s">
        <v>568</v>
      </c>
    </row>
    <row r="14" spans="1:4" ht="30" x14ac:dyDescent="0.25">
      <c r="A14">
        <v>12</v>
      </c>
      <c r="B14" t="s">
        <v>3</v>
      </c>
      <c r="C14" s="3" t="s">
        <v>578</v>
      </c>
    </row>
    <row r="15" spans="1:4" x14ac:dyDescent="0.25">
      <c r="A15">
        <v>18</v>
      </c>
      <c r="B15" t="s">
        <v>3</v>
      </c>
      <c r="C15" s="3" t="s">
        <v>602</v>
      </c>
    </row>
    <row r="16" spans="1:4" x14ac:dyDescent="0.25">
      <c r="A16">
        <v>19</v>
      </c>
      <c r="B16" t="s">
        <v>3</v>
      </c>
      <c r="C16" s="3" t="s">
        <v>608</v>
      </c>
    </row>
    <row r="17" spans="1:3" x14ac:dyDescent="0.25">
      <c r="A17">
        <v>5</v>
      </c>
      <c r="B17" t="s">
        <v>21</v>
      </c>
      <c r="C17" s="3" t="s">
        <v>22</v>
      </c>
    </row>
    <row r="18" spans="1:3" x14ac:dyDescent="0.25">
      <c r="A18">
        <v>8</v>
      </c>
      <c r="B18" t="s">
        <v>21</v>
      </c>
      <c r="C18" s="3" t="s">
        <v>590</v>
      </c>
    </row>
    <row r="19" spans="1:3" ht="30" x14ac:dyDescent="0.25">
      <c r="A19">
        <v>16</v>
      </c>
      <c r="B19" t="s">
        <v>21</v>
      </c>
      <c r="C19" s="3" t="s">
        <v>593</v>
      </c>
    </row>
    <row r="20" spans="1:3" x14ac:dyDescent="0.25">
      <c r="A20">
        <v>3</v>
      </c>
      <c r="B20" t="s">
        <v>5</v>
      </c>
      <c r="C20" s="4" t="s">
        <v>12</v>
      </c>
    </row>
    <row r="21" spans="1:3" x14ac:dyDescent="0.25">
      <c r="A21">
        <v>13</v>
      </c>
      <c r="B21" t="s">
        <v>5</v>
      </c>
      <c r="C21" s="3" t="s">
        <v>584</v>
      </c>
    </row>
    <row r="22" spans="1:3" x14ac:dyDescent="0.25">
      <c r="A22">
        <v>5</v>
      </c>
      <c r="B22" t="s">
        <v>26</v>
      </c>
      <c r="C22" s="3" t="s">
        <v>27</v>
      </c>
    </row>
    <row r="23" spans="1:3" x14ac:dyDescent="0.25">
      <c r="A23">
        <v>6</v>
      </c>
      <c r="B23" t="s">
        <v>26</v>
      </c>
      <c r="C23" s="3" t="s">
        <v>28</v>
      </c>
    </row>
    <row r="24" spans="1:3" x14ac:dyDescent="0.25">
      <c r="A24">
        <v>2</v>
      </c>
      <c r="B24" t="s">
        <v>2</v>
      </c>
      <c r="C24" s="4" t="s">
        <v>8</v>
      </c>
    </row>
    <row r="25" spans="1:3" x14ac:dyDescent="0.25">
      <c r="A25">
        <v>2</v>
      </c>
      <c r="B25" t="s">
        <v>2</v>
      </c>
      <c r="C25" s="4" t="s">
        <v>9</v>
      </c>
    </row>
    <row r="26" spans="1:3" x14ac:dyDescent="0.25">
      <c r="A26">
        <v>5</v>
      </c>
      <c r="B26" t="s">
        <v>2</v>
      </c>
      <c r="C26" s="3" t="s">
        <v>23</v>
      </c>
    </row>
    <row r="27" spans="1:3" x14ac:dyDescent="0.25">
      <c r="A27">
        <v>7</v>
      </c>
      <c r="B27" t="s">
        <v>2</v>
      </c>
      <c r="C27" s="3" t="s">
        <v>31</v>
      </c>
    </row>
    <row r="28" spans="1:3" x14ac:dyDescent="0.25">
      <c r="A28">
        <v>7</v>
      </c>
      <c r="B28" t="s">
        <v>2</v>
      </c>
      <c r="C28" s="3" t="s">
        <v>32</v>
      </c>
    </row>
    <row r="29" spans="1:3" x14ac:dyDescent="0.25">
      <c r="A29">
        <v>11</v>
      </c>
      <c r="B29" t="s">
        <v>2</v>
      </c>
      <c r="C29" s="3" t="s">
        <v>572</v>
      </c>
    </row>
    <row r="30" spans="1:3" x14ac:dyDescent="0.25">
      <c r="A30">
        <v>16</v>
      </c>
      <c r="B30" t="s">
        <v>2</v>
      </c>
      <c r="C30" s="3" t="s">
        <v>592</v>
      </c>
    </row>
    <row r="31" spans="1:3" x14ac:dyDescent="0.25">
      <c r="A31">
        <v>1</v>
      </c>
      <c r="B31" t="s">
        <v>1</v>
      </c>
      <c r="C31" s="3" t="s">
        <v>7</v>
      </c>
    </row>
    <row r="32" spans="1:3" x14ac:dyDescent="0.25">
      <c r="A32">
        <v>13</v>
      </c>
      <c r="B32" t="s">
        <v>1</v>
      </c>
      <c r="C32" s="3" t="s">
        <v>583</v>
      </c>
    </row>
    <row r="33" spans="1:3" ht="30" x14ac:dyDescent="0.25">
      <c r="A33">
        <v>6</v>
      </c>
      <c r="B33" t="s">
        <v>571</v>
      </c>
      <c r="C33" s="3" t="s">
        <v>29</v>
      </c>
    </row>
    <row r="34" spans="1:3" ht="30" x14ac:dyDescent="0.25">
      <c r="A34">
        <v>10</v>
      </c>
      <c r="B34" t="s">
        <v>571</v>
      </c>
      <c r="C34" s="810" t="s">
        <v>569</v>
      </c>
    </row>
    <row r="35" spans="1:3" x14ac:dyDescent="0.25">
      <c r="A35">
        <v>10</v>
      </c>
      <c r="B35" t="s">
        <v>571</v>
      </c>
      <c r="C35" s="3" t="s">
        <v>570</v>
      </c>
    </row>
    <row r="36" spans="1:3" x14ac:dyDescent="0.25">
      <c r="A36">
        <v>13</v>
      </c>
      <c r="B36" t="s">
        <v>571</v>
      </c>
      <c r="C36" s="3" t="s">
        <v>580</v>
      </c>
    </row>
    <row r="37" spans="1:3" x14ac:dyDescent="0.25">
      <c r="A37">
        <v>12</v>
      </c>
      <c r="B37" t="s">
        <v>579</v>
      </c>
      <c r="C37" s="3" t="s">
        <v>576</v>
      </c>
    </row>
    <row r="38" spans="1:3" x14ac:dyDescent="0.25">
      <c r="A38">
        <v>12</v>
      </c>
      <c r="B38" t="s">
        <v>579</v>
      </c>
      <c r="C38" s="3" t="s">
        <v>577</v>
      </c>
    </row>
    <row r="39" spans="1:3" x14ac:dyDescent="0.25">
      <c r="A39">
        <v>15</v>
      </c>
      <c r="B39" t="s">
        <v>579</v>
      </c>
      <c r="C39" s="3" t="s">
        <v>588</v>
      </c>
    </row>
    <row r="40" spans="1:3" x14ac:dyDescent="0.25">
      <c r="A40">
        <v>16</v>
      </c>
      <c r="B40" t="s">
        <v>579</v>
      </c>
      <c r="C40" s="3" t="s">
        <v>595</v>
      </c>
    </row>
    <row r="41" spans="1:3" x14ac:dyDescent="0.25">
      <c r="A41">
        <v>17</v>
      </c>
      <c r="B41" t="s">
        <v>579</v>
      </c>
      <c r="C41" s="3" t="s">
        <v>600</v>
      </c>
    </row>
    <row r="42" spans="1:3" x14ac:dyDescent="0.25">
      <c r="A42">
        <v>18</v>
      </c>
      <c r="B42" t="s">
        <v>579</v>
      </c>
      <c r="C42" s="3" t="s">
        <v>588</v>
      </c>
    </row>
    <row r="43" spans="1:3" x14ac:dyDescent="0.25">
      <c r="A43">
        <v>18</v>
      </c>
      <c r="B43" t="s">
        <v>579</v>
      </c>
      <c r="C43" s="3" t="s">
        <v>603</v>
      </c>
    </row>
    <row r="44" spans="1:3" x14ac:dyDescent="0.25">
      <c r="A44">
        <v>1</v>
      </c>
      <c r="B44" t="s">
        <v>0</v>
      </c>
      <c r="C44" s="3" t="s">
        <v>6</v>
      </c>
    </row>
    <row r="45" spans="1:3" x14ac:dyDescent="0.25">
      <c r="A45">
        <v>5</v>
      </c>
      <c r="B45" t="s">
        <v>0</v>
      </c>
      <c r="C45" s="3" t="s">
        <v>24</v>
      </c>
    </row>
    <row r="46" spans="1:3" ht="30" x14ac:dyDescent="0.25">
      <c r="A46">
        <v>3</v>
      </c>
      <c r="B46" t="s">
        <v>17</v>
      </c>
      <c r="C46" s="4" t="s">
        <v>18</v>
      </c>
    </row>
    <row r="47" spans="1:3" ht="30" x14ac:dyDescent="0.25">
      <c r="A47">
        <v>18</v>
      </c>
      <c r="B47" t="s">
        <v>17</v>
      </c>
      <c r="C47" s="3" t="s">
        <v>604</v>
      </c>
    </row>
    <row r="48" spans="1:3" ht="30" x14ac:dyDescent="0.25">
      <c r="A48">
        <v>19</v>
      </c>
      <c r="B48" t="s">
        <v>17</v>
      </c>
      <c r="C48" s="3" t="s">
        <v>606</v>
      </c>
    </row>
    <row r="49" spans="1:3" x14ac:dyDescent="0.25">
      <c r="A49">
        <v>19</v>
      </c>
      <c r="B49" t="s">
        <v>17</v>
      </c>
      <c r="C49" s="3" t="s">
        <v>607</v>
      </c>
    </row>
    <row r="50" spans="1:3" x14ac:dyDescent="0.25">
      <c r="A50">
        <v>3</v>
      </c>
      <c r="B50" s="420" t="s">
        <v>4</v>
      </c>
      <c r="C50" s="5" t="s">
        <v>11</v>
      </c>
    </row>
    <row r="51" spans="1:3" x14ac:dyDescent="0.25">
      <c r="A51">
        <v>17</v>
      </c>
      <c r="B51" t="s">
        <v>4</v>
      </c>
      <c r="C51" s="5" t="s">
        <v>598</v>
      </c>
    </row>
    <row r="52" spans="1:3" x14ac:dyDescent="0.25">
      <c r="A52">
        <v>5</v>
      </c>
      <c r="B52" t="s">
        <v>566</v>
      </c>
      <c r="C52" s="3" t="s">
        <v>25</v>
      </c>
    </row>
    <row r="53" spans="1:3" ht="30" x14ac:dyDescent="0.25">
      <c r="A53">
        <v>9</v>
      </c>
      <c r="B53" t="s">
        <v>566</v>
      </c>
      <c r="C53" s="3" t="s">
        <v>564</v>
      </c>
    </row>
    <row r="54" spans="1:3" x14ac:dyDescent="0.25">
      <c r="A54">
        <v>10</v>
      </c>
      <c r="B54" t="s">
        <v>566</v>
      </c>
      <c r="C54" s="3" t="s">
        <v>567</v>
      </c>
    </row>
    <row r="55" spans="1:3" x14ac:dyDescent="0.25">
      <c r="A55">
        <v>11</v>
      </c>
      <c r="B55" t="s">
        <v>566</v>
      </c>
      <c r="C55" s="3" t="s">
        <v>573</v>
      </c>
    </row>
    <row r="56" spans="1:3" x14ac:dyDescent="0.25">
      <c r="A56">
        <v>11</v>
      </c>
      <c r="B56" s="420" t="s">
        <v>566</v>
      </c>
      <c r="C56" s="3" t="s">
        <v>574</v>
      </c>
    </row>
    <row r="57" spans="1:3" x14ac:dyDescent="0.25">
      <c r="A57">
        <v>11</v>
      </c>
      <c r="B57" t="s">
        <v>566</v>
      </c>
      <c r="C57" s="3" t="s">
        <v>575</v>
      </c>
    </row>
    <row r="58" spans="1:3" x14ac:dyDescent="0.25">
      <c r="A58">
        <v>13</v>
      </c>
      <c r="B58" t="s">
        <v>566</v>
      </c>
      <c r="C58" s="3" t="s">
        <v>581</v>
      </c>
    </row>
    <row r="59" spans="1:3" x14ac:dyDescent="0.25">
      <c r="A59">
        <v>15</v>
      </c>
      <c r="B59" s="420" t="s">
        <v>566</v>
      </c>
      <c r="C59" s="3" t="s">
        <v>591</v>
      </c>
    </row>
    <row r="60" spans="1:3" x14ac:dyDescent="0.25">
      <c r="A60">
        <v>3</v>
      </c>
      <c r="B60" t="s">
        <v>15</v>
      </c>
      <c r="C60" s="4" t="s">
        <v>16</v>
      </c>
    </row>
    <row r="61" spans="1:3" x14ac:dyDescent="0.25">
      <c r="A61">
        <v>7</v>
      </c>
      <c r="B61" t="s">
        <v>15</v>
      </c>
      <c r="C61" s="3" t="s">
        <v>33</v>
      </c>
    </row>
    <row r="62" spans="1:3" x14ac:dyDescent="0.25">
      <c r="A62">
        <v>7</v>
      </c>
      <c r="B62" t="s">
        <v>15</v>
      </c>
      <c r="C62" s="3" t="s">
        <v>34</v>
      </c>
    </row>
    <row r="63" spans="1:3" x14ac:dyDescent="0.25">
      <c r="A63">
        <v>13</v>
      </c>
      <c r="B63" t="s">
        <v>15</v>
      </c>
      <c r="C63" s="3" t="s">
        <v>582</v>
      </c>
    </row>
    <row r="64" spans="1:3" x14ac:dyDescent="0.25">
      <c r="A64">
        <v>14</v>
      </c>
      <c r="B64" t="s">
        <v>15</v>
      </c>
      <c r="C64" s="3" t="s">
        <v>585</v>
      </c>
    </row>
    <row r="65" spans="1:3" x14ac:dyDescent="0.25">
      <c r="A65">
        <v>15</v>
      </c>
      <c r="B65" t="s">
        <v>15</v>
      </c>
      <c r="C65" s="3" t="s">
        <v>586</v>
      </c>
    </row>
    <row r="66" spans="1:3" x14ac:dyDescent="0.25">
      <c r="A66">
        <v>15</v>
      </c>
      <c r="B66" t="s">
        <v>15</v>
      </c>
      <c r="C66" s="3" t="s">
        <v>587</v>
      </c>
    </row>
    <row r="67" spans="1:3" x14ac:dyDescent="0.25">
      <c r="A67">
        <v>16</v>
      </c>
      <c r="B67" t="s">
        <v>15</v>
      </c>
      <c r="C67" s="3" t="s">
        <v>594</v>
      </c>
    </row>
    <row r="68" spans="1:3" x14ac:dyDescent="0.25">
      <c r="A68">
        <v>18</v>
      </c>
      <c r="B68" s="420" t="s">
        <v>15</v>
      </c>
      <c r="C68" s="3" t="s">
        <v>605</v>
      </c>
    </row>
    <row r="70" spans="1:3" x14ac:dyDescent="0.25">
      <c r="B70" s="997" t="s">
        <v>614</v>
      </c>
    </row>
    <row r="90" spans="4:7" x14ac:dyDescent="0.25">
      <c r="D90" s="1" t="s">
        <v>613</v>
      </c>
      <c r="E90" s="1" t="s">
        <v>13</v>
      </c>
    </row>
    <row r="91" spans="4:7" x14ac:dyDescent="0.25">
      <c r="D91" s="807">
        <v>10</v>
      </c>
      <c r="E91" s="812" t="s">
        <v>610</v>
      </c>
      <c r="F91" s="446"/>
      <c r="G91" s="446"/>
    </row>
    <row r="92" spans="4:7" x14ac:dyDescent="0.25">
      <c r="D92" s="808">
        <v>9</v>
      </c>
      <c r="E92" s="811" t="s">
        <v>611</v>
      </c>
    </row>
    <row r="93" spans="4:7" x14ac:dyDescent="0.25">
      <c r="D93" s="808">
        <v>8</v>
      </c>
      <c r="E93" s="811" t="s">
        <v>612</v>
      </c>
    </row>
    <row r="94" spans="4:7" x14ac:dyDescent="0.25">
      <c r="D94" s="808">
        <v>7</v>
      </c>
      <c r="E94" s="811" t="s">
        <v>2</v>
      </c>
    </row>
    <row r="95" spans="4:7" x14ac:dyDescent="0.25">
      <c r="D95" s="808">
        <v>7</v>
      </c>
      <c r="E95" s="811" t="s">
        <v>579</v>
      </c>
    </row>
    <row r="96" spans="4:7" x14ac:dyDescent="0.25">
      <c r="D96" s="808">
        <v>5</v>
      </c>
      <c r="E96" s="811" t="s">
        <v>589</v>
      </c>
    </row>
    <row r="97" spans="4:7" x14ac:dyDescent="0.25">
      <c r="D97" s="808">
        <v>4</v>
      </c>
      <c r="E97" s="811" t="s">
        <v>571</v>
      </c>
    </row>
    <row r="98" spans="4:7" x14ac:dyDescent="0.25">
      <c r="D98" s="808">
        <v>4</v>
      </c>
      <c r="E98" s="811" t="s">
        <v>17</v>
      </c>
    </row>
    <row r="99" spans="4:7" x14ac:dyDescent="0.25">
      <c r="D99" s="808">
        <v>3</v>
      </c>
      <c r="E99" s="811" t="s">
        <v>21</v>
      </c>
    </row>
    <row r="100" spans="4:7" x14ac:dyDescent="0.25">
      <c r="D100" s="808">
        <v>2</v>
      </c>
      <c r="E100" s="811" t="s">
        <v>5</v>
      </c>
    </row>
    <row r="101" spans="4:7" x14ac:dyDescent="0.25">
      <c r="D101" s="808">
        <v>2</v>
      </c>
      <c r="E101" s="811" t="s">
        <v>26</v>
      </c>
    </row>
    <row r="102" spans="4:7" x14ac:dyDescent="0.25">
      <c r="D102" s="808">
        <v>2</v>
      </c>
      <c r="E102" s="811" t="s">
        <v>1</v>
      </c>
    </row>
    <row r="103" spans="4:7" x14ac:dyDescent="0.25">
      <c r="D103" s="808">
        <v>2</v>
      </c>
      <c r="E103" s="811" t="s">
        <v>0</v>
      </c>
    </row>
    <row r="104" spans="4:7" x14ac:dyDescent="0.25">
      <c r="D104" s="808">
        <v>2</v>
      </c>
      <c r="E104" t="s">
        <v>4</v>
      </c>
    </row>
    <row r="105" spans="4:7" x14ac:dyDescent="0.25">
      <c r="D105" s="807">
        <f>SUM(D91:D104)</f>
        <v>67</v>
      </c>
      <c r="E105" s="812" t="s">
        <v>39</v>
      </c>
      <c r="F105" s="446"/>
      <c r="G105" s="446"/>
    </row>
  </sheetData>
  <sortState xmlns:xlrd2="http://schemas.microsoft.com/office/spreadsheetml/2017/richdata2" ref="A2:D68">
    <sortCondition ref="B2:B68"/>
  </sortState>
  <hyperlinks>
    <hyperlink ref="C50" r:id="rId1" xr:uid="{2A1E72DE-947E-42BB-B42B-78451BAC805B}"/>
    <hyperlink ref="C51" r:id="rId2" xr:uid="{A1DD6995-C966-43F8-B0DC-4DAC84D2BA1E}"/>
  </hyperlinks>
  <pageMargins left="0.7" right="0.7" top="0.75" bottom="0.75" header="0.3" footer="0.3"/>
  <pageSetup orientation="landscape"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AAF88-0CFD-49D8-B64D-68D4996149D2}">
  <dimension ref="A1:T94"/>
  <sheetViews>
    <sheetView workbookViewId="0"/>
  </sheetViews>
  <sheetFormatPr defaultRowHeight="15" x14ac:dyDescent="0.25"/>
  <cols>
    <col min="1" max="1" width="3.28515625" style="12" customWidth="1"/>
    <col min="3" max="3" width="19.7109375" customWidth="1"/>
    <col min="4" max="4" width="10.140625" customWidth="1"/>
    <col min="5" max="5" width="12.5703125" customWidth="1"/>
    <col min="6" max="6" width="10.7109375" customWidth="1"/>
    <col min="7" max="7" width="11" customWidth="1"/>
    <col min="8" max="8" width="13.5703125" style="15" customWidth="1"/>
    <col min="9" max="9" width="11.7109375" style="15" customWidth="1"/>
    <col min="10" max="10" width="3.140625" style="15" customWidth="1"/>
    <col min="11" max="11" width="7.5703125" style="15" customWidth="1"/>
    <col min="12" max="12" width="19.5703125" style="15" customWidth="1"/>
    <col min="13" max="13" width="10" style="15" customWidth="1"/>
    <col min="14" max="14" width="9.7109375" style="15" customWidth="1"/>
    <col min="15" max="15" width="12.28515625" customWidth="1"/>
    <col min="16" max="16" width="10.7109375" style="15" customWidth="1"/>
    <col min="17" max="17" width="11.42578125" style="15" customWidth="1"/>
    <col min="18" max="18" width="12.140625" style="15" customWidth="1"/>
    <col min="19" max="19" width="13.140625" style="15" customWidth="1"/>
    <col min="20" max="20" width="2.42578125" style="15" customWidth="1"/>
  </cols>
  <sheetData>
    <row r="1" spans="1:20" s="11" customFormat="1" ht="21.75" customHeight="1" x14ac:dyDescent="0.3">
      <c r="A1" s="6"/>
      <c r="B1" s="6" t="s">
        <v>35</v>
      </c>
      <c r="C1" s="7"/>
      <c r="D1" s="7"/>
      <c r="E1" s="6"/>
      <c r="F1" s="8" t="s">
        <v>36</v>
      </c>
      <c r="G1" s="9"/>
      <c r="H1" s="8" t="s">
        <v>36</v>
      </c>
      <c r="I1" s="6"/>
      <c r="J1" s="10"/>
      <c r="K1" s="10"/>
      <c r="L1" s="10"/>
      <c r="M1" s="6"/>
      <c r="N1" s="6" t="s">
        <v>37</v>
      </c>
      <c r="O1" s="10"/>
      <c r="P1" s="10"/>
      <c r="Q1" s="10"/>
      <c r="R1" s="10"/>
      <c r="S1" s="10"/>
      <c r="T1" s="10"/>
    </row>
    <row r="2" spans="1:20" ht="7.5" customHeight="1" x14ac:dyDescent="0.25">
      <c r="B2" s="13"/>
      <c r="C2" s="13"/>
      <c r="D2" s="13"/>
      <c r="E2" s="13"/>
      <c r="F2" s="13"/>
      <c r="G2" s="13"/>
      <c r="H2" s="14"/>
      <c r="I2" s="14"/>
      <c r="J2" s="14"/>
      <c r="K2" s="14"/>
      <c r="L2" s="14"/>
      <c r="M2" s="14"/>
      <c r="N2" s="14"/>
      <c r="O2" s="12"/>
      <c r="P2" s="14"/>
      <c r="Q2" s="14"/>
      <c r="R2" s="14"/>
      <c r="S2" s="14"/>
      <c r="T2" s="14"/>
    </row>
    <row r="3" spans="1:20" x14ac:dyDescent="0.25">
      <c r="B3" s="13"/>
      <c r="C3" s="13"/>
      <c r="D3" s="13"/>
      <c r="E3" s="13"/>
      <c r="F3" s="13"/>
      <c r="G3" s="13"/>
      <c r="L3" s="14"/>
      <c r="M3" s="16" t="s">
        <v>38</v>
      </c>
      <c r="N3" s="17"/>
      <c r="O3" s="18"/>
      <c r="P3" s="18"/>
      <c r="Q3" s="18"/>
      <c r="R3" s="18"/>
      <c r="S3" s="19"/>
      <c r="T3" s="14"/>
    </row>
    <row r="4" spans="1:20" x14ac:dyDescent="0.25">
      <c r="B4" s="13"/>
      <c r="C4" s="13"/>
      <c r="D4" s="13"/>
      <c r="E4" s="13"/>
      <c r="F4" s="13"/>
      <c r="G4" s="13"/>
      <c r="L4" s="14"/>
      <c r="M4" s="20"/>
      <c r="N4" s="21"/>
      <c r="O4" s="21"/>
      <c r="P4" s="22" t="s">
        <v>39</v>
      </c>
      <c r="Q4" s="22" t="s">
        <v>40</v>
      </c>
      <c r="R4" s="22" t="s">
        <v>41</v>
      </c>
      <c r="S4" s="23" t="s">
        <v>42</v>
      </c>
      <c r="T4" s="14"/>
    </row>
    <row r="5" spans="1:20" ht="14.45" customHeight="1" x14ac:dyDescent="0.25">
      <c r="B5" s="13"/>
      <c r="C5" s="13"/>
      <c r="D5" s="13"/>
      <c r="E5" s="13"/>
      <c r="F5" s="13"/>
      <c r="G5" s="13"/>
      <c r="L5" s="14"/>
      <c r="M5" s="24" t="s">
        <v>43</v>
      </c>
      <c r="N5" s="25"/>
      <c r="O5" s="26"/>
      <c r="P5" s="27"/>
      <c r="Q5" s="27"/>
      <c r="R5" s="27"/>
      <c r="S5" s="28"/>
      <c r="T5" s="14"/>
    </row>
    <row r="6" spans="1:20" x14ac:dyDescent="0.25">
      <c r="B6" s="13"/>
      <c r="C6" s="13"/>
      <c r="D6" s="13"/>
      <c r="E6" s="13"/>
      <c r="F6" s="13"/>
      <c r="G6" s="13"/>
      <c r="L6" s="14"/>
      <c r="M6" s="29" t="s">
        <v>44</v>
      </c>
      <c r="N6" s="30"/>
      <c r="O6" s="31"/>
      <c r="P6" s="32">
        <f>M82+N82</f>
        <v>165000</v>
      </c>
      <c r="Q6" s="32">
        <f>M83+N83</f>
        <v>29700</v>
      </c>
      <c r="R6" s="32">
        <f>M84+N84</f>
        <v>135300</v>
      </c>
      <c r="S6" s="33">
        <f>R6/P6</f>
        <v>0.82</v>
      </c>
      <c r="T6" s="14"/>
    </row>
    <row r="7" spans="1:20" x14ac:dyDescent="0.25">
      <c r="B7" s="13"/>
      <c r="C7" s="13"/>
      <c r="D7" s="13"/>
      <c r="E7" s="13"/>
      <c r="F7" s="13"/>
      <c r="G7" s="13"/>
      <c r="L7" s="14"/>
      <c r="M7" s="29" t="s">
        <v>45</v>
      </c>
      <c r="N7" s="30"/>
      <c r="O7" s="31"/>
      <c r="P7" s="32"/>
      <c r="Q7" s="32"/>
      <c r="R7" s="32"/>
      <c r="S7" s="33"/>
      <c r="T7" s="14"/>
    </row>
    <row r="8" spans="1:20" x14ac:dyDescent="0.25">
      <c r="B8" s="13"/>
      <c r="C8" s="13"/>
      <c r="D8" s="13"/>
      <c r="E8" s="13"/>
      <c r="F8" s="13"/>
      <c r="G8" s="13"/>
      <c r="L8" s="14"/>
      <c r="M8" s="29" t="s">
        <v>46</v>
      </c>
      <c r="N8" s="30"/>
      <c r="O8" s="31"/>
      <c r="P8" s="34"/>
      <c r="Q8" s="32"/>
      <c r="R8" s="34"/>
      <c r="S8" s="35"/>
      <c r="T8" s="14"/>
    </row>
    <row r="9" spans="1:20" x14ac:dyDescent="0.25">
      <c r="B9" s="13"/>
      <c r="C9" s="13"/>
      <c r="D9" s="13"/>
      <c r="E9" s="13"/>
      <c r="F9" s="13"/>
      <c r="G9" s="13"/>
      <c r="L9" s="14"/>
      <c r="M9" s="36" t="str">
        <f>K70</f>
        <v>Hatchery</v>
      </c>
      <c r="N9" s="37"/>
      <c r="O9" s="38"/>
      <c r="P9" s="39"/>
      <c r="Q9" s="39"/>
      <c r="R9" s="39"/>
      <c r="S9" s="40"/>
      <c r="T9" s="14"/>
    </row>
    <row r="10" spans="1:20" ht="14.45" customHeight="1" x14ac:dyDescent="0.25">
      <c r="B10" s="13"/>
      <c r="C10" s="13"/>
      <c r="D10" s="13"/>
      <c r="E10" s="13"/>
      <c r="F10" s="13"/>
      <c r="G10" s="13"/>
      <c r="H10" s="14"/>
      <c r="I10" s="14"/>
      <c r="J10" s="14"/>
      <c r="K10" s="14"/>
      <c r="L10" s="14"/>
      <c r="M10" s="14"/>
      <c r="N10" s="14"/>
      <c r="O10" s="12"/>
      <c r="P10" s="14"/>
      <c r="Q10" s="14"/>
      <c r="R10" s="14"/>
      <c r="S10" s="14"/>
      <c r="T10" s="14"/>
    </row>
    <row r="11" spans="1:20" x14ac:dyDescent="0.25">
      <c r="B11" s="13"/>
      <c r="C11" s="13"/>
      <c r="D11" s="13"/>
      <c r="E11" s="13"/>
      <c r="F11" s="13"/>
      <c r="G11" s="13"/>
      <c r="H11" s="14"/>
      <c r="I11" s="14"/>
      <c r="J11" s="14"/>
      <c r="K11" s="14"/>
      <c r="L11" s="14"/>
      <c r="M11" s="14"/>
      <c r="N11" s="14"/>
      <c r="O11" s="12"/>
      <c r="P11" s="14"/>
      <c r="Q11" s="14"/>
      <c r="R11" s="14"/>
      <c r="S11" s="14"/>
      <c r="T11" s="14"/>
    </row>
    <row r="12" spans="1:20" ht="15" customHeight="1" x14ac:dyDescent="0.25">
      <c r="B12" s="13"/>
      <c r="C12" s="13"/>
      <c r="D12" s="13"/>
      <c r="E12" s="13"/>
      <c r="F12" s="13"/>
      <c r="G12" s="13"/>
      <c r="H12" s="14"/>
      <c r="I12" s="14"/>
      <c r="J12" s="14"/>
      <c r="K12" s="14"/>
      <c r="L12" s="14"/>
      <c r="M12" s="14"/>
      <c r="N12" s="14"/>
      <c r="O12" s="12"/>
      <c r="P12" s="14"/>
      <c r="Q12" s="14"/>
      <c r="R12" s="14"/>
      <c r="S12" s="14"/>
      <c r="T12" s="14"/>
    </row>
    <row r="13" spans="1:20" x14ac:dyDescent="0.25">
      <c r="B13" s="13"/>
      <c r="C13" s="13"/>
      <c r="D13" s="13"/>
      <c r="E13" s="13"/>
      <c r="F13" s="13"/>
      <c r="G13" s="13"/>
      <c r="H13" s="14"/>
      <c r="I13" s="14"/>
      <c r="J13" s="14"/>
      <c r="K13" s="14"/>
      <c r="L13" s="14"/>
      <c r="M13" s="14"/>
      <c r="N13" s="14"/>
      <c r="O13" s="12"/>
      <c r="P13" s="14"/>
      <c r="Q13" s="14"/>
      <c r="R13" s="14"/>
      <c r="S13" s="14"/>
      <c r="T13" s="14"/>
    </row>
    <row r="14" spans="1:20" x14ac:dyDescent="0.25">
      <c r="B14" s="13"/>
      <c r="C14" s="13"/>
      <c r="D14" s="13"/>
      <c r="E14" s="13"/>
      <c r="F14" s="13"/>
      <c r="G14" s="13"/>
      <c r="H14" s="14"/>
      <c r="I14" s="14"/>
      <c r="J14" s="14"/>
      <c r="K14" s="14"/>
      <c r="L14" s="14"/>
      <c r="M14" s="14"/>
      <c r="N14" s="14"/>
      <c r="O14" s="12"/>
      <c r="P14" s="14"/>
      <c r="Q14" s="14"/>
      <c r="R14" s="14"/>
      <c r="S14" s="14"/>
      <c r="T14" s="14"/>
    </row>
    <row r="15" spans="1:20" x14ac:dyDescent="0.25">
      <c r="B15" s="13"/>
      <c r="C15" s="13"/>
      <c r="D15" s="13"/>
      <c r="E15" s="13"/>
      <c r="F15" s="13"/>
      <c r="G15" s="13"/>
      <c r="H15" s="14"/>
      <c r="I15" s="14"/>
      <c r="J15" s="14"/>
      <c r="K15" s="14"/>
      <c r="L15" s="14"/>
      <c r="M15" s="14"/>
      <c r="N15" s="14"/>
      <c r="O15" s="12"/>
      <c r="P15" s="14"/>
      <c r="Q15" s="14"/>
      <c r="R15" s="14"/>
      <c r="S15" s="14"/>
      <c r="T15" s="14"/>
    </row>
    <row r="16" spans="1:20" ht="14.45" customHeight="1" x14ac:dyDescent="0.25">
      <c r="B16" s="13"/>
      <c r="C16" s="13"/>
      <c r="D16" s="13"/>
      <c r="E16" s="13"/>
      <c r="F16" s="13"/>
      <c r="G16" s="13"/>
      <c r="H16" s="14"/>
      <c r="I16" s="14"/>
      <c r="J16" s="14"/>
      <c r="K16" s="14"/>
      <c r="L16" s="14"/>
      <c r="M16" s="14"/>
      <c r="N16" s="14"/>
      <c r="O16" s="12"/>
      <c r="P16" s="14"/>
      <c r="Q16" s="14"/>
      <c r="R16" s="14"/>
      <c r="S16" s="14"/>
      <c r="T16" s="14"/>
    </row>
    <row r="17" spans="2:20" ht="14.45" customHeight="1" x14ac:dyDescent="0.25">
      <c r="B17" s="13"/>
      <c r="C17" s="13"/>
      <c r="D17" s="13"/>
      <c r="E17" s="13"/>
      <c r="F17" s="13"/>
      <c r="G17" s="13"/>
      <c r="H17" s="14"/>
      <c r="I17" s="14"/>
      <c r="J17" s="14"/>
      <c r="K17" s="14"/>
      <c r="L17" s="14"/>
      <c r="M17" s="14"/>
      <c r="N17" s="14"/>
      <c r="O17" s="12"/>
      <c r="P17" s="14"/>
      <c r="Q17" s="14"/>
      <c r="R17" s="14"/>
      <c r="S17" s="14"/>
      <c r="T17" s="14"/>
    </row>
    <row r="18" spans="2:20" x14ac:dyDescent="0.25">
      <c r="B18" s="13"/>
      <c r="C18" s="13"/>
      <c r="D18" s="13"/>
      <c r="E18" s="13"/>
      <c r="F18" s="13"/>
      <c r="G18" s="13"/>
      <c r="H18" s="14"/>
      <c r="I18" s="14"/>
      <c r="J18" s="14"/>
      <c r="K18" s="14"/>
      <c r="L18" s="14"/>
      <c r="M18" s="14"/>
      <c r="N18" s="14"/>
      <c r="O18" s="12"/>
      <c r="P18" s="14"/>
      <c r="Q18" s="14"/>
      <c r="R18" s="14"/>
      <c r="S18" s="14"/>
      <c r="T18" s="14"/>
    </row>
    <row r="19" spans="2:20" x14ac:dyDescent="0.25">
      <c r="B19" s="13"/>
      <c r="C19" s="13"/>
      <c r="D19" s="13"/>
      <c r="E19" s="13"/>
      <c r="F19" s="13"/>
      <c r="G19" s="13"/>
      <c r="H19" s="14"/>
      <c r="I19" s="14"/>
      <c r="J19" s="14"/>
      <c r="K19" s="14"/>
      <c r="L19" s="14"/>
      <c r="M19" s="14"/>
      <c r="N19" s="14"/>
      <c r="O19" s="12"/>
      <c r="P19" s="14"/>
      <c r="Q19" s="14"/>
      <c r="R19" s="14"/>
      <c r="S19" s="14"/>
      <c r="T19" s="14"/>
    </row>
    <row r="20" spans="2:20" x14ac:dyDescent="0.25">
      <c r="B20" s="13"/>
      <c r="C20" s="13"/>
      <c r="D20" s="13"/>
      <c r="E20" s="13"/>
      <c r="F20" s="13"/>
      <c r="G20" s="13"/>
      <c r="H20" s="14"/>
      <c r="I20" s="14"/>
      <c r="J20" s="14"/>
      <c r="K20" s="14"/>
      <c r="L20" s="14"/>
      <c r="M20" s="14"/>
      <c r="N20" s="14"/>
      <c r="O20" s="12"/>
      <c r="P20" s="14"/>
      <c r="Q20" s="14"/>
      <c r="R20" s="14"/>
      <c r="S20" s="14"/>
      <c r="T20" s="14"/>
    </row>
    <row r="21" spans="2:20" x14ac:dyDescent="0.25">
      <c r="B21" s="13"/>
      <c r="C21" s="13"/>
      <c r="D21" s="13"/>
      <c r="E21" s="13"/>
      <c r="F21" s="13"/>
      <c r="G21" s="13"/>
      <c r="H21" s="14"/>
      <c r="I21" s="14"/>
      <c r="J21" s="14"/>
      <c r="K21" s="14"/>
      <c r="L21" s="14"/>
      <c r="M21" s="14"/>
      <c r="N21" s="14"/>
      <c r="O21" s="12"/>
      <c r="P21" s="14"/>
      <c r="Q21" s="14"/>
      <c r="R21" s="14"/>
      <c r="S21" s="14"/>
      <c r="T21" s="14"/>
    </row>
    <row r="22" spans="2:20" x14ac:dyDescent="0.25">
      <c r="B22" s="13"/>
      <c r="C22" s="13"/>
      <c r="D22" s="13"/>
      <c r="E22" s="13"/>
      <c r="F22" s="13"/>
      <c r="G22" s="13"/>
      <c r="H22" s="14"/>
      <c r="I22" s="14"/>
      <c r="J22" s="14"/>
      <c r="K22" s="14"/>
      <c r="L22" s="14"/>
      <c r="M22" s="14"/>
      <c r="N22" s="14"/>
      <c r="O22" s="12"/>
      <c r="P22" s="14"/>
      <c r="Q22" s="14"/>
      <c r="R22" s="14"/>
      <c r="S22" s="14"/>
      <c r="T22" s="14"/>
    </row>
    <row r="23" spans="2:20" x14ac:dyDescent="0.25">
      <c r="B23" s="13"/>
      <c r="C23" s="13"/>
      <c r="D23" s="13"/>
      <c r="E23" s="13"/>
      <c r="F23" s="13"/>
      <c r="G23" s="13"/>
      <c r="H23" s="14"/>
      <c r="I23" s="14"/>
      <c r="J23" s="14"/>
      <c r="K23" s="14"/>
      <c r="L23" s="14"/>
      <c r="M23" s="14"/>
      <c r="N23" s="14"/>
      <c r="O23" s="12"/>
      <c r="P23" s="14"/>
      <c r="Q23" s="14"/>
      <c r="R23" s="14"/>
      <c r="S23" s="14"/>
      <c r="T23" s="14"/>
    </row>
    <row r="24" spans="2:20" x14ac:dyDescent="0.25">
      <c r="B24" s="13"/>
      <c r="C24" s="13"/>
      <c r="D24" s="13"/>
      <c r="E24" s="13"/>
      <c r="F24" s="13"/>
      <c r="G24" s="13"/>
      <c r="H24" s="14"/>
      <c r="I24" s="14"/>
      <c r="J24" s="14"/>
      <c r="K24" s="14"/>
      <c r="L24" s="14"/>
      <c r="M24" s="14"/>
      <c r="N24" s="14"/>
      <c r="O24" s="12"/>
      <c r="P24" s="14"/>
      <c r="Q24" s="14"/>
      <c r="R24" s="14"/>
      <c r="S24" s="14"/>
      <c r="T24" s="14"/>
    </row>
    <row r="25" spans="2:20" ht="14.45" customHeight="1" x14ac:dyDescent="0.25">
      <c r="B25" s="13"/>
      <c r="C25" s="13"/>
      <c r="D25" s="13"/>
      <c r="E25" s="13"/>
      <c r="F25" s="13"/>
      <c r="G25" s="13"/>
      <c r="H25" s="14"/>
      <c r="I25" s="14"/>
      <c r="J25" s="14"/>
      <c r="K25" s="14"/>
      <c r="L25" s="14"/>
      <c r="M25" s="14"/>
      <c r="N25" s="14"/>
      <c r="O25" s="12"/>
      <c r="P25" s="14"/>
      <c r="Q25" s="14"/>
      <c r="R25" s="14"/>
      <c r="S25" s="14"/>
      <c r="T25" s="14"/>
    </row>
    <row r="26" spans="2:20" x14ac:dyDescent="0.25">
      <c r="B26" s="13"/>
      <c r="C26" s="13"/>
      <c r="D26" s="13"/>
      <c r="E26" s="13"/>
      <c r="F26" s="13"/>
      <c r="G26" s="13"/>
      <c r="H26" s="14"/>
      <c r="I26" s="14"/>
      <c r="J26" s="14"/>
      <c r="K26" s="14"/>
      <c r="L26" s="14"/>
      <c r="M26" s="14"/>
      <c r="N26" s="14"/>
      <c r="O26" s="12"/>
      <c r="P26" s="14"/>
      <c r="Q26" s="14"/>
      <c r="R26" s="14"/>
      <c r="S26" s="14"/>
      <c r="T26" s="14"/>
    </row>
    <row r="27" spans="2:20" x14ac:dyDescent="0.25">
      <c r="B27" s="13"/>
      <c r="C27" s="13"/>
      <c r="D27" s="13"/>
      <c r="E27" s="13"/>
      <c r="F27" s="13"/>
      <c r="G27" s="13"/>
      <c r="H27" s="14"/>
      <c r="I27" s="14"/>
      <c r="J27" s="14"/>
      <c r="K27" s="14"/>
      <c r="L27" s="14"/>
      <c r="M27" s="14"/>
      <c r="N27" s="14"/>
      <c r="O27" s="12"/>
      <c r="P27" s="14"/>
      <c r="Q27" s="14"/>
      <c r="R27" s="14"/>
      <c r="S27" s="14"/>
      <c r="T27" s="14"/>
    </row>
    <row r="28" spans="2:20" x14ac:dyDescent="0.25">
      <c r="B28" s="13"/>
      <c r="C28" s="13"/>
      <c r="D28" s="13"/>
      <c r="E28" s="13"/>
      <c r="F28" s="13"/>
      <c r="G28" s="13"/>
      <c r="H28" s="14"/>
      <c r="I28" s="14"/>
      <c r="J28" s="14"/>
      <c r="K28" s="14"/>
      <c r="L28" s="14"/>
      <c r="M28" s="14"/>
      <c r="N28" s="14"/>
      <c r="O28" s="12"/>
      <c r="P28" s="14"/>
      <c r="Q28" s="14"/>
      <c r="R28" s="14"/>
      <c r="S28" s="14"/>
      <c r="T28" s="14"/>
    </row>
    <row r="29" spans="2:20" ht="14.45" customHeight="1" x14ac:dyDescent="0.25">
      <c r="B29" s="13"/>
      <c r="C29" s="13"/>
      <c r="D29" s="13"/>
      <c r="E29" s="13"/>
      <c r="F29" s="13"/>
      <c r="G29" s="13"/>
      <c r="H29" s="14"/>
      <c r="I29" s="14"/>
      <c r="J29" s="14"/>
      <c r="K29" s="14"/>
      <c r="L29" s="14"/>
      <c r="M29" s="14"/>
      <c r="N29" s="14"/>
      <c r="O29" s="12"/>
      <c r="P29" s="14"/>
      <c r="Q29" s="14"/>
      <c r="R29" s="14"/>
      <c r="S29" s="14"/>
      <c r="T29" s="14"/>
    </row>
    <row r="30" spans="2:20" x14ac:dyDescent="0.25">
      <c r="B30" s="13"/>
      <c r="C30" s="13"/>
      <c r="D30" s="13"/>
      <c r="E30" s="13"/>
      <c r="F30" s="13"/>
      <c r="G30" s="13"/>
      <c r="H30" s="14"/>
      <c r="I30" s="14"/>
      <c r="J30" s="14"/>
      <c r="K30" s="14"/>
      <c r="L30" s="14"/>
      <c r="M30" s="14"/>
      <c r="N30" s="14"/>
      <c r="O30" s="12"/>
      <c r="P30" s="14"/>
      <c r="Q30" s="14"/>
      <c r="R30" s="14"/>
      <c r="S30" s="14"/>
      <c r="T30" s="14"/>
    </row>
    <row r="31" spans="2:20" x14ac:dyDescent="0.25">
      <c r="B31" s="13"/>
      <c r="C31" s="13"/>
      <c r="D31" s="13"/>
      <c r="E31" s="13"/>
      <c r="F31" s="13"/>
      <c r="G31" s="13"/>
      <c r="H31" s="14"/>
      <c r="I31" s="14"/>
      <c r="J31" s="14"/>
      <c r="K31" s="14"/>
      <c r="L31" s="14"/>
      <c r="M31" s="14"/>
      <c r="N31" s="14"/>
      <c r="O31" s="12"/>
      <c r="P31" s="14"/>
      <c r="Q31" s="14"/>
      <c r="R31" s="14"/>
      <c r="S31" s="14"/>
      <c r="T31" s="14"/>
    </row>
    <row r="32" spans="2:20" x14ac:dyDescent="0.25">
      <c r="B32" s="13"/>
      <c r="C32" s="13"/>
      <c r="D32" s="13"/>
      <c r="E32" s="13"/>
      <c r="F32" s="13"/>
      <c r="G32" s="13"/>
      <c r="H32" s="14"/>
      <c r="I32" s="14"/>
      <c r="J32" s="14"/>
      <c r="K32" s="14"/>
      <c r="L32" s="14"/>
      <c r="M32" s="14"/>
      <c r="N32" s="14"/>
      <c r="O32" s="12"/>
      <c r="P32" s="14"/>
      <c r="Q32" s="14"/>
      <c r="R32" s="14"/>
      <c r="S32" s="14"/>
      <c r="T32" s="14"/>
    </row>
    <row r="33" spans="2:20" ht="14.45" customHeight="1" x14ac:dyDescent="0.25">
      <c r="B33" s="13"/>
      <c r="C33" s="13"/>
      <c r="D33" s="13"/>
      <c r="E33" s="13"/>
      <c r="F33" s="13"/>
      <c r="G33" s="13"/>
      <c r="H33" s="14"/>
      <c r="I33" s="14"/>
      <c r="J33" s="14"/>
      <c r="K33" s="14"/>
      <c r="L33" s="14"/>
      <c r="M33" s="14"/>
      <c r="N33" s="14"/>
      <c r="O33" s="12"/>
      <c r="P33" s="14"/>
      <c r="Q33" s="14"/>
      <c r="R33" s="14"/>
      <c r="S33" s="14"/>
      <c r="T33" s="14"/>
    </row>
    <row r="34" spans="2:20" x14ac:dyDescent="0.25">
      <c r="B34" s="13"/>
      <c r="C34" s="13"/>
      <c r="D34" s="13"/>
      <c r="E34" s="13"/>
      <c r="F34" s="13"/>
      <c r="G34" s="13"/>
      <c r="H34" s="14"/>
      <c r="I34" s="14"/>
      <c r="J34" s="14"/>
      <c r="K34" s="14"/>
      <c r="L34" s="14"/>
      <c r="M34" s="14"/>
      <c r="N34" s="14"/>
      <c r="O34" s="12"/>
      <c r="P34" s="14"/>
      <c r="Q34" s="14"/>
      <c r="R34" s="14"/>
      <c r="S34" s="14"/>
      <c r="T34" s="14"/>
    </row>
    <row r="35" spans="2:20" x14ac:dyDescent="0.25">
      <c r="B35" s="13"/>
      <c r="C35" s="13"/>
      <c r="D35" s="13"/>
      <c r="E35" s="13"/>
      <c r="F35" s="13"/>
      <c r="G35" s="13"/>
      <c r="H35" s="14"/>
      <c r="I35" s="14"/>
      <c r="J35" s="14"/>
      <c r="K35" s="14"/>
      <c r="L35" s="14"/>
      <c r="M35" s="14"/>
      <c r="N35" s="14"/>
      <c r="O35" s="12"/>
      <c r="P35" s="14"/>
      <c r="Q35" s="14"/>
      <c r="R35" s="14"/>
      <c r="S35" s="14"/>
      <c r="T35" s="14"/>
    </row>
    <row r="36" spans="2:20" x14ac:dyDescent="0.25">
      <c r="B36" s="13"/>
      <c r="C36" s="13"/>
      <c r="D36" s="13"/>
      <c r="E36" s="13"/>
      <c r="F36" s="13"/>
      <c r="G36" s="13"/>
      <c r="H36" s="14"/>
      <c r="I36" s="14"/>
      <c r="J36" s="14"/>
      <c r="K36" s="14"/>
      <c r="L36" s="14"/>
      <c r="M36" s="14"/>
      <c r="N36" s="14"/>
      <c r="O36" s="12"/>
      <c r="P36" s="14"/>
      <c r="Q36" s="14"/>
      <c r="R36" s="14"/>
      <c r="S36" s="14"/>
      <c r="T36" s="14"/>
    </row>
    <row r="37" spans="2:20" ht="14.45" customHeight="1" x14ac:dyDescent="0.25">
      <c r="B37" s="13"/>
      <c r="C37" s="13"/>
      <c r="D37" s="13"/>
      <c r="E37" s="13"/>
      <c r="F37" s="13"/>
      <c r="G37" s="13"/>
      <c r="H37" s="14"/>
      <c r="I37" s="14"/>
      <c r="J37" s="14"/>
      <c r="K37" s="14"/>
      <c r="L37" s="14"/>
      <c r="M37" s="14"/>
      <c r="N37" s="14"/>
      <c r="O37" s="12"/>
      <c r="P37" s="14"/>
      <c r="Q37" s="14"/>
      <c r="R37" s="14"/>
      <c r="S37" s="14"/>
      <c r="T37" s="14"/>
    </row>
    <row r="38" spans="2:20" ht="14.45" customHeight="1" x14ac:dyDescent="0.25">
      <c r="B38" s="13"/>
      <c r="C38" s="13"/>
      <c r="D38" s="13"/>
      <c r="E38" s="13"/>
      <c r="F38" s="13"/>
      <c r="G38" s="13"/>
      <c r="H38" s="14"/>
      <c r="I38" s="14"/>
      <c r="J38" s="14"/>
      <c r="K38" s="14"/>
      <c r="L38" s="14"/>
      <c r="M38" s="14"/>
      <c r="N38" s="14"/>
      <c r="O38" s="12"/>
      <c r="P38" s="14"/>
      <c r="Q38" s="14"/>
      <c r="R38" s="14"/>
      <c r="S38" s="14"/>
      <c r="T38" s="14"/>
    </row>
    <row r="39" spans="2:20" x14ac:dyDescent="0.25">
      <c r="B39" s="13"/>
      <c r="C39" s="13"/>
      <c r="D39" s="13"/>
      <c r="E39" s="13"/>
      <c r="F39" s="13"/>
      <c r="G39" s="13"/>
      <c r="H39" s="14"/>
      <c r="I39" s="14"/>
      <c r="J39" s="14"/>
      <c r="K39" s="14"/>
      <c r="L39" s="14"/>
      <c r="M39" s="14"/>
      <c r="N39" s="14"/>
      <c r="O39" s="12"/>
      <c r="P39" s="14"/>
      <c r="Q39" s="14"/>
      <c r="R39" s="14"/>
      <c r="S39" s="14"/>
      <c r="T39" s="14"/>
    </row>
    <row r="40" spans="2:20" x14ac:dyDescent="0.25">
      <c r="B40" s="13"/>
      <c r="C40" s="13"/>
      <c r="D40" s="13"/>
      <c r="E40" s="13"/>
      <c r="F40" s="13"/>
      <c r="G40" s="13"/>
      <c r="H40" s="14"/>
      <c r="I40" s="14"/>
      <c r="J40" s="14"/>
      <c r="K40" s="14"/>
      <c r="L40" s="14"/>
      <c r="M40" s="14"/>
      <c r="N40" s="14"/>
      <c r="O40" s="12"/>
      <c r="P40" s="14"/>
      <c r="Q40" s="14"/>
      <c r="R40" s="14"/>
      <c r="S40" s="14"/>
      <c r="T40" s="14"/>
    </row>
    <row r="41" spans="2:20" ht="14.45" customHeight="1" x14ac:dyDescent="0.25">
      <c r="B41" s="13"/>
      <c r="C41" s="13"/>
      <c r="D41" s="13"/>
      <c r="E41" s="13"/>
      <c r="F41" s="13"/>
      <c r="G41" s="13"/>
      <c r="H41" s="14"/>
      <c r="I41" s="14"/>
      <c r="J41" s="14"/>
      <c r="K41" s="14"/>
      <c r="L41" s="14"/>
      <c r="M41" s="14"/>
      <c r="N41" s="14"/>
      <c r="O41" s="12"/>
      <c r="P41" s="14"/>
      <c r="Q41" s="14"/>
      <c r="R41" s="14"/>
      <c r="S41" s="14"/>
      <c r="T41" s="14"/>
    </row>
    <row r="42" spans="2:20" x14ac:dyDescent="0.25">
      <c r="B42" s="13"/>
      <c r="C42" s="13"/>
      <c r="D42" s="13"/>
      <c r="E42" s="13"/>
      <c r="F42" s="13"/>
      <c r="G42" s="13"/>
      <c r="H42" s="14"/>
      <c r="I42" s="14"/>
      <c r="J42" s="14"/>
      <c r="K42" s="14"/>
      <c r="L42" s="14"/>
      <c r="M42" s="14"/>
      <c r="N42" s="14"/>
      <c r="O42" s="12"/>
      <c r="P42" s="14"/>
      <c r="Q42" s="14"/>
      <c r="R42" s="14"/>
      <c r="S42" s="14"/>
      <c r="T42" s="14"/>
    </row>
    <row r="43" spans="2:20" x14ac:dyDescent="0.25">
      <c r="B43" s="13"/>
      <c r="C43" s="13"/>
      <c r="D43" s="13"/>
      <c r="E43" s="13"/>
      <c r="F43" s="13"/>
      <c r="G43" s="13"/>
      <c r="H43" s="14"/>
      <c r="I43" s="14"/>
      <c r="J43" s="14"/>
      <c r="K43" s="14"/>
      <c r="L43" s="14"/>
      <c r="M43" s="14"/>
      <c r="N43" s="14"/>
      <c r="O43" s="12"/>
      <c r="P43" s="14"/>
      <c r="Q43" s="14"/>
      <c r="R43" s="14"/>
      <c r="S43" s="14"/>
      <c r="T43" s="14"/>
    </row>
    <row r="44" spans="2:20" x14ac:dyDescent="0.25">
      <c r="B44" s="13"/>
      <c r="C44" s="13"/>
      <c r="D44" s="13"/>
      <c r="E44" s="13"/>
      <c r="F44" s="13"/>
      <c r="G44" s="13"/>
      <c r="H44" s="14"/>
      <c r="I44" s="14"/>
      <c r="J44" s="14"/>
      <c r="K44" s="14"/>
      <c r="L44" s="14"/>
      <c r="M44" s="14"/>
      <c r="N44" s="14"/>
      <c r="O44" s="12"/>
      <c r="P44" s="14"/>
      <c r="Q44" s="14"/>
      <c r="R44" s="14"/>
      <c r="S44" s="14"/>
      <c r="T44" s="14"/>
    </row>
    <row r="45" spans="2:20" ht="14.45" customHeight="1" x14ac:dyDescent="0.25">
      <c r="B45" s="13"/>
      <c r="C45" s="13"/>
      <c r="D45" s="13"/>
      <c r="E45" s="13"/>
      <c r="F45" s="13"/>
      <c r="G45" s="13"/>
      <c r="H45" s="14"/>
      <c r="I45" s="14"/>
      <c r="J45" s="14"/>
      <c r="K45" s="14"/>
      <c r="L45" s="14"/>
      <c r="M45" s="14"/>
      <c r="N45" s="14"/>
      <c r="O45" s="12"/>
      <c r="P45" s="14"/>
      <c r="Q45" s="14"/>
      <c r="R45" s="14"/>
      <c r="S45" s="14"/>
      <c r="T45" s="14"/>
    </row>
    <row r="46" spans="2:20" x14ac:dyDescent="0.25">
      <c r="B46" s="13"/>
      <c r="C46" s="13"/>
      <c r="D46" s="13"/>
      <c r="E46" s="13"/>
      <c r="F46" s="13"/>
      <c r="G46" s="13"/>
      <c r="H46" s="14"/>
      <c r="I46" s="14"/>
      <c r="J46" s="14"/>
      <c r="K46" s="14"/>
      <c r="L46" s="14"/>
      <c r="M46" s="14"/>
      <c r="N46" s="14"/>
      <c r="O46" s="12"/>
      <c r="P46" s="14"/>
      <c r="Q46" s="14"/>
      <c r="R46" s="14"/>
      <c r="S46" s="14"/>
      <c r="T46" s="14"/>
    </row>
    <row r="47" spans="2:20" x14ac:dyDescent="0.25">
      <c r="B47" s="13"/>
      <c r="C47" s="13"/>
      <c r="D47" s="13"/>
      <c r="E47" s="13"/>
      <c r="F47" s="13"/>
      <c r="G47" s="13"/>
      <c r="H47" s="14"/>
      <c r="I47" s="14"/>
      <c r="J47" s="14"/>
      <c r="K47" s="14"/>
      <c r="L47" s="41" t="s">
        <v>47</v>
      </c>
      <c r="M47" s="42">
        <f>M69</f>
        <v>7.4700000000000003E-2</v>
      </c>
      <c r="N47" s="43">
        <f>N69</f>
        <v>0.1885</v>
      </c>
      <c r="O47" s="44"/>
      <c r="P47" s="14"/>
      <c r="Q47" s="41" t="s">
        <v>48</v>
      </c>
      <c r="R47" s="45">
        <f>O60</f>
        <v>9328000</v>
      </c>
      <c r="S47" s="14"/>
      <c r="T47" s="14"/>
    </row>
    <row r="48" spans="2:20" ht="14.45" customHeight="1" x14ac:dyDescent="0.25">
      <c r="B48" s="13"/>
      <c r="C48" s="13"/>
      <c r="D48" s="13"/>
      <c r="E48" s="13"/>
      <c r="F48" s="13"/>
      <c r="G48" s="13"/>
      <c r="H48" s="14"/>
      <c r="I48" s="14"/>
      <c r="J48" s="14"/>
      <c r="K48" s="14"/>
      <c r="L48" s="14"/>
      <c r="M48" s="14"/>
      <c r="N48" s="14"/>
      <c r="O48" s="12"/>
      <c r="P48" s="14"/>
      <c r="Q48" s="14"/>
      <c r="R48" s="14"/>
      <c r="S48" s="14"/>
      <c r="T48" s="14"/>
    </row>
    <row r="49" spans="2:20" x14ac:dyDescent="0.25">
      <c r="B49" s="46" t="s">
        <v>49</v>
      </c>
      <c r="C49" s="47"/>
      <c r="D49" s="48"/>
      <c r="E49" s="49" t="s">
        <v>50</v>
      </c>
      <c r="F49" s="50"/>
      <c r="G49" s="49" t="s">
        <v>51</v>
      </c>
      <c r="H49" s="51"/>
      <c r="I49" s="52"/>
      <c r="J49" s="14"/>
      <c r="K49" s="53" t="s">
        <v>52</v>
      </c>
      <c r="L49" s="54"/>
      <c r="M49" s="55"/>
      <c r="N49" s="56" t="s">
        <v>53</v>
      </c>
      <c r="O49" s="57"/>
      <c r="P49" s="57"/>
      <c r="Q49" s="813" t="s">
        <v>54</v>
      </c>
      <c r="R49" s="814"/>
      <c r="S49" s="58" t="s">
        <v>55</v>
      </c>
      <c r="T49" s="14"/>
    </row>
    <row r="50" spans="2:20" x14ac:dyDescent="0.25">
      <c r="B50" s="59" t="s">
        <v>56</v>
      </c>
      <c r="C50" s="60" t="s">
        <v>57</v>
      </c>
      <c r="D50" s="61"/>
      <c r="E50" s="60" t="s">
        <v>58</v>
      </c>
      <c r="F50" s="60" t="s">
        <v>59</v>
      </c>
      <c r="G50" s="60" t="s">
        <v>60</v>
      </c>
      <c r="H50" s="60" t="s">
        <v>61</v>
      </c>
      <c r="I50" s="62" t="s">
        <v>62</v>
      </c>
      <c r="J50" s="14"/>
      <c r="K50" s="63" t="s">
        <v>63</v>
      </c>
      <c r="L50" s="64"/>
      <c r="M50" s="65" t="s">
        <v>64</v>
      </c>
      <c r="N50" s="65" t="s">
        <v>65</v>
      </c>
      <c r="O50" s="65" t="s">
        <v>48</v>
      </c>
      <c r="P50" s="65" t="s">
        <v>66</v>
      </c>
      <c r="Q50" s="65" t="s">
        <v>67</v>
      </c>
      <c r="R50" s="65" t="s">
        <v>68</v>
      </c>
      <c r="S50" s="66" t="s">
        <v>69</v>
      </c>
      <c r="T50" s="14"/>
    </row>
    <row r="51" spans="2:20" x14ac:dyDescent="0.25">
      <c r="B51" s="815" t="s">
        <v>70</v>
      </c>
      <c r="C51" s="67" t="s">
        <v>71</v>
      </c>
      <c r="D51" s="68"/>
      <c r="E51" s="69" t="s">
        <v>72</v>
      </c>
      <c r="F51" s="70" t="s">
        <v>72</v>
      </c>
      <c r="G51" s="71">
        <v>500</v>
      </c>
      <c r="H51" s="72">
        <f>G51+(I51-G51)/2</f>
        <v>1500</v>
      </c>
      <c r="I51" s="73">
        <f>5*G51</f>
        <v>2500</v>
      </c>
      <c r="J51" s="14"/>
      <c r="K51" s="74" t="s">
        <v>73</v>
      </c>
      <c r="L51" s="75"/>
      <c r="M51" s="76" t="s">
        <v>74</v>
      </c>
      <c r="N51" s="75">
        <v>60</v>
      </c>
      <c r="O51" s="77">
        <v>100000</v>
      </c>
      <c r="P51" s="77"/>
      <c r="Q51" s="75"/>
      <c r="R51" s="78">
        <v>4656</v>
      </c>
      <c r="S51" s="79"/>
      <c r="T51" s="14"/>
    </row>
    <row r="52" spans="2:20" x14ac:dyDescent="0.25">
      <c r="B52" s="815"/>
      <c r="C52" s="80" t="s">
        <v>75</v>
      </c>
      <c r="D52" s="81"/>
      <c r="E52" s="82" t="s">
        <v>72</v>
      </c>
      <c r="F52" s="83" t="s">
        <v>72</v>
      </c>
      <c r="G52" s="84">
        <v>1000</v>
      </c>
      <c r="H52" s="85">
        <f t="shared" ref="H52:H75" si="0">G52+(I52-G52)/2</f>
        <v>3000</v>
      </c>
      <c r="I52" s="86">
        <f t="shared" ref="I52:I75" si="1">5*G52</f>
        <v>5000</v>
      </c>
      <c r="J52" s="14"/>
      <c r="K52" s="87" t="s">
        <v>76</v>
      </c>
      <c r="L52" s="88"/>
      <c r="M52" s="89" t="s">
        <v>74</v>
      </c>
      <c r="N52" s="90">
        <v>472</v>
      </c>
      <c r="O52" s="90">
        <v>1160000</v>
      </c>
      <c r="P52" s="90"/>
      <c r="Q52" s="88"/>
      <c r="R52" s="91"/>
      <c r="S52" s="92"/>
      <c r="T52" s="14"/>
    </row>
    <row r="53" spans="2:20" x14ac:dyDescent="0.25">
      <c r="B53" s="816" t="s">
        <v>77</v>
      </c>
      <c r="C53" s="93" t="s">
        <v>78</v>
      </c>
      <c r="D53" s="68"/>
      <c r="E53" s="69" t="s">
        <v>72</v>
      </c>
      <c r="F53" s="70" t="s">
        <v>72</v>
      </c>
      <c r="G53" s="71">
        <v>1500</v>
      </c>
      <c r="H53" s="72">
        <f t="shared" si="0"/>
        <v>4500</v>
      </c>
      <c r="I53" s="73">
        <f t="shared" si="1"/>
        <v>7500</v>
      </c>
      <c r="J53" s="14"/>
      <c r="K53" s="87" t="s">
        <v>79</v>
      </c>
      <c r="L53" s="94"/>
      <c r="M53" s="89" t="s">
        <v>74</v>
      </c>
      <c r="N53" s="95">
        <v>132</v>
      </c>
      <c r="O53" s="95">
        <v>215000</v>
      </c>
      <c r="P53" s="95"/>
      <c r="Q53" s="88"/>
      <c r="R53" s="91">
        <v>11184</v>
      </c>
      <c r="S53" s="92"/>
      <c r="T53" s="14"/>
    </row>
    <row r="54" spans="2:20" x14ac:dyDescent="0.25">
      <c r="B54" s="816"/>
      <c r="C54" s="96" t="s">
        <v>80</v>
      </c>
      <c r="D54" s="97"/>
      <c r="E54" s="98" t="s">
        <v>72</v>
      </c>
      <c r="F54" s="99" t="s">
        <v>72</v>
      </c>
      <c r="G54" s="100">
        <v>1000</v>
      </c>
      <c r="H54" s="101">
        <f t="shared" si="0"/>
        <v>3000</v>
      </c>
      <c r="I54" s="102">
        <f t="shared" si="1"/>
        <v>5000</v>
      </c>
      <c r="J54" s="14"/>
      <c r="K54" s="87" t="s">
        <v>81</v>
      </c>
      <c r="L54" s="94"/>
      <c r="M54" s="89" t="s">
        <v>82</v>
      </c>
      <c r="N54" s="95">
        <v>872</v>
      </c>
      <c r="O54" s="95">
        <v>2100000</v>
      </c>
      <c r="P54" s="95"/>
      <c r="Q54" s="88"/>
      <c r="R54" s="103">
        <v>60264</v>
      </c>
      <c r="S54" s="92"/>
      <c r="T54" s="14"/>
    </row>
    <row r="55" spans="2:20" x14ac:dyDescent="0.25">
      <c r="B55" s="816"/>
      <c r="C55" s="96" t="s">
        <v>83</v>
      </c>
      <c r="D55" s="97"/>
      <c r="E55" s="98" t="s">
        <v>72</v>
      </c>
      <c r="F55" s="99" t="s">
        <v>72</v>
      </c>
      <c r="G55" s="100">
        <v>500</v>
      </c>
      <c r="H55" s="101">
        <f t="shared" si="0"/>
        <v>1500</v>
      </c>
      <c r="I55" s="102">
        <f t="shared" si="1"/>
        <v>2500</v>
      </c>
      <c r="J55" s="14"/>
      <c r="K55" s="87" t="s">
        <v>77</v>
      </c>
      <c r="L55" s="94"/>
      <c r="M55" s="89" t="s">
        <v>82</v>
      </c>
      <c r="N55" s="95">
        <v>452</v>
      </c>
      <c r="O55" s="95">
        <v>843000</v>
      </c>
      <c r="P55" s="95"/>
      <c r="Q55" s="88"/>
      <c r="R55" s="103"/>
      <c r="S55" s="92"/>
      <c r="T55" s="14"/>
    </row>
    <row r="56" spans="2:20" x14ac:dyDescent="0.25">
      <c r="B56" s="816"/>
      <c r="C56" s="96" t="s">
        <v>84</v>
      </c>
      <c r="D56" s="97"/>
      <c r="E56" s="98" t="s">
        <v>72</v>
      </c>
      <c r="F56" s="99" t="s">
        <v>72</v>
      </c>
      <c r="G56" s="100" t="s">
        <v>85</v>
      </c>
      <c r="H56" s="100" t="s">
        <v>85</v>
      </c>
      <c r="I56" s="104" t="s">
        <v>85</v>
      </c>
      <c r="J56" s="14"/>
      <c r="K56" s="87" t="s">
        <v>86</v>
      </c>
      <c r="L56" s="94"/>
      <c r="M56" s="89" t="s">
        <v>74</v>
      </c>
      <c r="N56" s="95">
        <v>878</v>
      </c>
      <c r="O56" s="95">
        <v>1560000</v>
      </c>
      <c r="P56" s="105"/>
      <c r="Q56" s="88"/>
      <c r="R56" s="103"/>
      <c r="S56" s="92"/>
      <c r="T56" s="14"/>
    </row>
    <row r="57" spans="2:20" x14ac:dyDescent="0.25">
      <c r="B57" s="816"/>
      <c r="C57" s="96" t="s">
        <v>87</v>
      </c>
      <c r="D57" s="97"/>
      <c r="E57" s="98" t="s">
        <v>72</v>
      </c>
      <c r="F57" s="99" t="s">
        <v>72</v>
      </c>
      <c r="G57" s="100">
        <v>1000</v>
      </c>
      <c r="H57" s="101">
        <f t="shared" si="0"/>
        <v>3000</v>
      </c>
      <c r="I57" s="102">
        <f t="shared" si="1"/>
        <v>5000</v>
      </c>
      <c r="J57" s="14"/>
      <c r="K57" s="87" t="s">
        <v>88</v>
      </c>
      <c r="L57" s="94"/>
      <c r="M57" s="89" t="s">
        <v>74</v>
      </c>
      <c r="N57" s="95">
        <v>812</v>
      </c>
      <c r="O57" s="95">
        <v>1550000</v>
      </c>
      <c r="P57" s="106"/>
      <c r="Q57" s="88"/>
      <c r="R57" s="103"/>
      <c r="S57" s="92"/>
      <c r="T57" s="14"/>
    </row>
    <row r="58" spans="2:20" x14ac:dyDescent="0.25">
      <c r="B58" s="816"/>
      <c r="C58" s="107" t="s">
        <v>89</v>
      </c>
      <c r="D58" s="81"/>
      <c r="E58" s="82" t="s">
        <v>72</v>
      </c>
      <c r="F58" s="83" t="s">
        <v>72</v>
      </c>
      <c r="G58" s="84">
        <v>1000</v>
      </c>
      <c r="H58" s="85">
        <f t="shared" si="0"/>
        <v>3000</v>
      </c>
      <c r="I58" s="86">
        <f t="shared" si="1"/>
        <v>5000</v>
      </c>
      <c r="J58" s="14"/>
      <c r="K58" s="87" t="s">
        <v>90</v>
      </c>
      <c r="L58" s="94"/>
      <c r="M58" s="101" t="s">
        <v>82</v>
      </c>
      <c r="N58" s="105">
        <v>1152</v>
      </c>
      <c r="O58" s="105">
        <v>1800000</v>
      </c>
      <c r="P58" s="106"/>
      <c r="Q58" s="88"/>
      <c r="R58" s="103"/>
      <c r="S58" s="92"/>
      <c r="T58" s="14"/>
    </row>
    <row r="59" spans="2:20" x14ac:dyDescent="0.25">
      <c r="B59" s="817" t="s">
        <v>91</v>
      </c>
      <c r="C59" s="67" t="s">
        <v>78</v>
      </c>
      <c r="D59" s="68"/>
      <c r="E59" s="69" t="s">
        <v>72</v>
      </c>
      <c r="F59" s="70" t="s">
        <v>72</v>
      </c>
      <c r="G59" s="71">
        <v>1000</v>
      </c>
      <c r="H59" s="72">
        <f t="shared" si="0"/>
        <v>3000</v>
      </c>
      <c r="I59" s="73">
        <f t="shared" si="1"/>
        <v>5000</v>
      </c>
      <c r="J59" s="14"/>
      <c r="K59" s="108" t="s">
        <v>92</v>
      </c>
      <c r="L59" s="109"/>
      <c r="M59" s="110" t="s">
        <v>93</v>
      </c>
      <c r="N59" s="111">
        <v>455</v>
      </c>
      <c r="O59" s="112"/>
      <c r="P59" s="113">
        <v>1000000</v>
      </c>
      <c r="Q59" s="112"/>
      <c r="R59" s="114"/>
      <c r="S59" s="115"/>
      <c r="T59" s="14"/>
    </row>
    <row r="60" spans="2:20" x14ac:dyDescent="0.25">
      <c r="B60" s="817"/>
      <c r="C60" s="116" t="s">
        <v>94</v>
      </c>
      <c r="D60" s="97"/>
      <c r="E60" s="98" t="s">
        <v>72</v>
      </c>
      <c r="F60" s="99" t="s">
        <v>72</v>
      </c>
      <c r="G60" s="100">
        <v>1500</v>
      </c>
      <c r="H60" s="101">
        <f t="shared" si="0"/>
        <v>4500</v>
      </c>
      <c r="I60" s="102">
        <f t="shared" si="1"/>
        <v>7500</v>
      </c>
      <c r="J60" s="14"/>
      <c r="K60" s="117" t="s">
        <v>95</v>
      </c>
      <c r="L60" s="118"/>
      <c r="M60" s="119"/>
      <c r="N60" s="120">
        <f>SUM(N51:N59)</f>
        <v>5285</v>
      </c>
      <c r="O60" s="120">
        <f>SUM(O51:O59)</f>
        <v>9328000</v>
      </c>
      <c r="P60" s="120">
        <f>SUM(P51:P59)</f>
        <v>1000000</v>
      </c>
      <c r="Q60" s="121"/>
      <c r="R60" s="120"/>
      <c r="S60" s="122"/>
      <c r="T60" s="14"/>
    </row>
    <row r="61" spans="2:20" x14ac:dyDescent="0.25">
      <c r="B61" s="817"/>
      <c r="C61" s="116" t="s">
        <v>96</v>
      </c>
      <c r="D61" s="97"/>
      <c r="E61" s="98" t="s">
        <v>72</v>
      </c>
      <c r="F61" s="99" t="s">
        <v>72</v>
      </c>
      <c r="G61" s="100">
        <v>500</v>
      </c>
      <c r="H61" s="101">
        <f t="shared" si="0"/>
        <v>1500</v>
      </c>
      <c r="I61" s="102">
        <f t="shared" si="1"/>
        <v>2500</v>
      </c>
      <c r="J61" s="14"/>
      <c r="K61" s="123" t="s">
        <v>97</v>
      </c>
      <c r="L61" s="124"/>
      <c r="M61" s="124"/>
      <c r="N61" s="124"/>
      <c r="O61" s="124"/>
      <c r="P61" s="124"/>
      <c r="Q61" s="124"/>
      <c r="R61" s="124"/>
      <c r="S61" s="124"/>
      <c r="T61" s="14"/>
    </row>
    <row r="62" spans="2:20" x14ac:dyDescent="0.25">
      <c r="B62" s="817"/>
      <c r="C62" s="125" t="s">
        <v>98</v>
      </c>
      <c r="D62" s="81"/>
      <c r="E62" s="82" t="s">
        <v>72</v>
      </c>
      <c r="F62" s="83" t="s">
        <v>72</v>
      </c>
      <c r="G62" s="84">
        <v>1000</v>
      </c>
      <c r="H62" s="85">
        <f t="shared" si="0"/>
        <v>3000</v>
      </c>
      <c r="I62" s="86">
        <f t="shared" si="1"/>
        <v>5000</v>
      </c>
      <c r="J62" s="14"/>
      <c r="K62" s="124"/>
      <c r="L62" s="124"/>
      <c r="M62" s="124"/>
      <c r="N62" s="124"/>
      <c r="O62" s="124"/>
      <c r="P62" s="124"/>
      <c r="Q62" s="124"/>
      <c r="R62" s="124"/>
      <c r="S62" s="124"/>
      <c r="T62" s="14"/>
    </row>
    <row r="63" spans="2:20" x14ac:dyDescent="0.25">
      <c r="B63" s="126" t="s">
        <v>99</v>
      </c>
      <c r="C63" s="127" t="s">
        <v>100</v>
      </c>
      <c r="D63" s="128"/>
      <c r="E63" s="129" t="s">
        <v>72</v>
      </c>
      <c r="F63" s="130" t="s">
        <v>72</v>
      </c>
      <c r="G63" s="131">
        <v>1000</v>
      </c>
      <c r="H63" s="132">
        <f t="shared" si="0"/>
        <v>3000</v>
      </c>
      <c r="I63" s="133">
        <f t="shared" si="1"/>
        <v>5000</v>
      </c>
      <c r="J63" s="14"/>
      <c r="K63" s="134" t="s">
        <v>101</v>
      </c>
      <c r="L63" s="135"/>
      <c r="M63" s="136" t="s">
        <v>102</v>
      </c>
      <c r="N63" s="136"/>
      <c r="O63" s="136"/>
      <c r="P63" s="137"/>
      <c r="Q63" s="136" t="s">
        <v>5</v>
      </c>
      <c r="R63" s="138"/>
      <c r="S63" s="139"/>
      <c r="T63" s="14"/>
    </row>
    <row r="64" spans="2:20" x14ac:dyDescent="0.25">
      <c r="B64" s="818" t="s">
        <v>103</v>
      </c>
      <c r="C64" s="140" t="s">
        <v>104</v>
      </c>
      <c r="D64" s="68"/>
      <c r="E64" s="69" t="s">
        <v>72</v>
      </c>
      <c r="F64" s="70" t="s">
        <v>72</v>
      </c>
      <c r="G64" s="71">
        <v>500</v>
      </c>
      <c r="H64" s="72">
        <f t="shared" si="0"/>
        <v>1500</v>
      </c>
      <c r="I64" s="73">
        <f t="shared" si="1"/>
        <v>2500</v>
      </c>
      <c r="J64" s="14"/>
      <c r="K64" s="141"/>
      <c r="L64" s="142" t="s">
        <v>105</v>
      </c>
      <c r="M64" s="143" t="s">
        <v>106</v>
      </c>
      <c r="N64" s="143" t="s">
        <v>107</v>
      </c>
      <c r="O64" s="143" t="s">
        <v>68</v>
      </c>
      <c r="P64" s="143" t="s">
        <v>55</v>
      </c>
      <c r="Q64" s="819" t="s">
        <v>108</v>
      </c>
      <c r="R64" s="820"/>
      <c r="S64" s="144" t="s">
        <v>55</v>
      </c>
      <c r="T64" s="14"/>
    </row>
    <row r="65" spans="2:20" x14ac:dyDescent="0.25">
      <c r="B65" s="818"/>
      <c r="C65" s="116" t="s">
        <v>109</v>
      </c>
      <c r="D65" s="97"/>
      <c r="E65" s="98" t="s">
        <v>72</v>
      </c>
      <c r="F65" s="99" t="s">
        <v>72</v>
      </c>
      <c r="G65" s="100">
        <v>1000</v>
      </c>
      <c r="H65" s="101">
        <f t="shared" si="0"/>
        <v>3000</v>
      </c>
      <c r="I65" s="102">
        <f t="shared" si="1"/>
        <v>5000</v>
      </c>
      <c r="J65" s="14"/>
      <c r="K65" s="821" t="s">
        <v>110</v>
      </c>
      <c r="L65" s="87" t="s">
        <v>1</v>
      </c>
      <c r="M65" s="145" t="s">
        <v>85</v>
      </c>
      <c r="N65" s="145" t="s">
        <v>85</v>
      </c>
      <c r="O65" s="145" t="s">
        <v>85</v>
      </c>
      <c r="P65" s="145" t="s">
        <v>85</v>
      </c>
      <c r="Q65" s="823" t="s">
        <v>85</v>
      </c>
      <c r="R65" s="823"/>
      <c r="S65" s="146" t="s">
        <v>85</v>
      </c>
      <c r="T65" s="14"/>
    </row>
    <row r="66" spans="2:20" x14ac:dyDescent="0.25">
      <c r="B66" s="818"/>
      <c r="C66" s="116" t="s">
        <v>111</v>
      </c>
      <c r="D66" s="97"/>
      <c r="E66" s="98" t="s">
        <v>72</v>
      </c>
      <c r="F66" s="99" t="s">
        <v>72</v>
      </c>
      <c r="G66" s="100">
        <v>1000</v>
      </c>
      <c r="H66" s="101">
        <f t="shared" si="0"/>
        <v>3000</v>
      </c>
      <c r="I66" s="102">
        <f t="shared" si="1"/>
        <v>5000</v>
      </c>
      <c r="J66" s="14"/>
      <c r="K66" s="822"/>
      <c r="L66" s="87" t="s">
        <v>112</v>
      </c>
      <c r="M66" s="147">
        <f>[1]Run!AZ32</f>
        <v>1.2E-2</v>
      </c>
      <c r="N66" s="147">
        <f>[1]Run!AZ33</f>
        <v>0.02</v>
      </c>
      <c r="O66" s="824" t="s">
        <v>113</v>
      </c>
      <c r="P66" s="826" t="s">
        <v>114</v>
      </c>
      <c r="Q66" s="828" t="s">
        <v>115</v>
      </c>
      <c r="R66" s="828"/>
      <c r="S66" s="148" t="s">
        <v>115</v>
      </c>
      <c r="T66" s="14"/>
    </row>
    <row r="67" spans="2:20" x14ac:dyDescent="0.25">
      <c r="B67" s="818"/>
      <c r="C67" s="116" t="s">
        <v>116</v>
      </c>
      <c r="D67" s="97"/>
      <c r="E67" s="98" t="s">
        <v>72</v>
      </c>
      <c r="F67" s="99" t="s">
        <v>72</v>
      </c>
      <c r="G67" s="100">
        <v>500</v>
      </c>
      <c r="H67" s="101">
        <f t="shared" si="0"/>
        <v>1500</v>
      </c>
      <c r="I67" s="102">
        <f t="shared" si="1"/>
        <v>2500</v>
      </c>
      <c r="J67" s="14"/>
      <c r="K67" s="822"/>
      <c r="L67" s="149" t="s">
        <v>117</v>
      </c>
      <c r="M67" s="147">
        <f>[1]Run!BA32</f>
        <v>6.2700000000000006E-2</v>
      </c>
      <c r="N67" s="147">
        <f>[1]Run!BA33</f>
        <v>0.16850000000000001</v>
      </c>
      <c r="O67" s="825"/>
      <c r="P67" s="827"/>
      <c r="Q67" s="828" t="s">
        <v>115</v>
      </c>
      <c r="R67" s="828"/>
      <c r="S67" s="148" t="s">
        <v>115</v>
      </c>
      <c r="T67" s="30"/>
    </row>
    <row r="68" spans="2:20" x14ac:dyDescent="0.25">
      <c r="B68" s="818"/>
      <c r="C68" s="150" t="s">
        <v>118</v>
      </c>
      <c r="D68" s="97"/>
      <c r="E68" s="98" t="s">
        <v>72</v>
      </c>
      <c r="F68" s="99" t="s">
        <v>72</v>
      </c>
      <c r="G68" s="100">
        <v>1000</v>
      </c>
      <c r="H68" s="101">
        <f t="shared" si="0"/>
        <v>3000</v>
      </c>
      <c r="I68" s="102">
        <f t="shared" si="1"/>
        <v>5000</v>
      </c>
      <c r="J68" s="14"/>
      <c r="K68" s="822"/>
      <c r="L68" s="87" t="s">
        <v>119</v>
      </c>
      <c r="M68" s="151" t="s">
        <v>72</v>
      </c>
      <c r="N68" s="151" t="s">
        <v>72</v>
      </c>
      <c r="O68" s="152" t="s">
        <v>72</v>
      </c>
      <c r="P68" s="153" t="s">
        <v>72</v>
      </c>
      <c r="Q68" s="829" t="s">
        <v>115</v>
      </c>
      <c r="R68" s="829"/>
      <c r="S68" s="148" t="s">
        <v>115</v>
      </c>
      <c r="T68" s="14"/>
    </row>
    <row r="69" spans="2:20" x14ac:dyDescent="0.25">
      <c r="B69" s="818"/>
      <c r="C69" s="150" t="s">
        <v>120</v>
      </c>
      <c r="D69" s="97"/>
      <c r="E69" s="98" t="s">
        <v>72</v>
      </c>
      <c r="F69" s="99" t="s">
        <v>72</v>
      </c>
      <c r="G69" s="100">
        <v>1000</v>
      </c>
      <c r="H69" s="101">
        <f t="shared" si="0"/>
        <v>3000</v>
      </c>
      <c r="I69" s="102">
        <f t="shared" si="1"/>
        <v>5000</v>
      </c>
      <c r="J69" s="14"/>
      <c r="K69" s="822"/>
      <c r="L69" s="154" t="s">
        <v>39</v>
      </c>
      <c r="M69" s="155">
        <f>SUM(M65:M68)</f>
        <v>7.4700000000000003E-2</v>
      </c>
      <c r="N69" s="155">
        <f>SUM(N65:N68)</f>
        <v>0.1885</v>
      </c>
      <c r="O69" s="156" t="s">
        <v>72</v>
      </c>
      <c r="P69" s="156" t="s">
        <v>72</v>
      </c>
      <c r="Q69" s="830" t="s">
        <v>115</v>
      </c>
      <c r="R69" s="830"/>
      <c r="S69" s="157" t="s">
        <v>115</v>
      </c>
      <c r="T69" s="14"/>
    </row>
    <row r="70" spans="2:20" x14ac:dyDescent="0.25">
      <c r="B70" s="818"/>
      <c r="C70" s="150" t="s">
        <v>84</v>
      </c>
      <c r="D70" s="97"/>
      <c r="E70" s="98" t="s">
        <v>72</v>
      </c>
      <c r="F70" s="99" t="s">
        <v>72</v>
      </c>
      <c r="G70" s="100">
        <v>500</v>
      </c>
      <c r="H70" s="101">
        <f t="shared" si="0"/>
        <v>1500</v>
      </c>
      <c r="I70" s="102">
        <f t="shared" si="1"/>
        <v>2500</v>
      </c>
      <c r="J70" s="14"/>
      <c r="K70" s="831" t="s">
        <v>41</v>
      </c>
      <c r="L70" s="87" t="s">
        <v>1</v>
      </c>
      <c r="M70" s="145" t="s">
        <v>85</v>
      </c>
      <c r="N70" s="145" t="s">
        <v>85</v>
      </c>
      <c r="O70" s="145" t="s">
        <v>85</v>
      </c>
      <c r="P70" s="145" t="s">
        <v>85</v>
      </c>
      <c r="Q70" s="823" t="s">
        <v>85</v>
      </c>
      <c r="R70" s="823"/>
      <c r="S70" s="146" t="s">
        <v>85</v>
      </c>
      <c r="T70" s="14"/>
    </row>
    <row r="71" spans="2:20" x14ac:dyDescent="0.25">
      <c r="B71" s="818"/>
      <c r="C71" s="150" t="s">
        <v>121</v>
      </c>
      <c r="D71" s="97"/>
      <c r="E71" s="98" t="s">
        <v>72</v>
      </c>
      <c r="F71" s="99" t="s">
        <v>72</v>
      </c>
      <c r="G71" s="100">
        <v>1000</v>
      </c>
      <c r="H71" s="101">
        <f t="shared" si="0"/>
        <v>3000</v>
      </c>
      <c r="I71" s="102">
        <f t="shared" si="1"/>
        <v>5000</v>
      </c>
      <c r="J71" s="14"/>
      <c r="K71" s="832"/>
      <c r="L71" s="87" t="s">
        <v>112</v>
      </c>
      <c r="M71" s="158" t="s">
        <v>72</v>
      </c>
      <c r="N71" s="158" t="s">
        <v>72</v>
      </c>
      <c r="O71" s="834" t="s">
        <v>122</v>
      </c>
      <c r="P71" s="834" t="s">
        <v>122</v>
      </c>
      <c r="Q71" s="828" t="s">
        <v>115</v>
      </c>
      <c r="R71" s="835"/>
      <c r="S71" s="148" t="s">
        <v>115</v>
      </c>
      <c r="T71" s="14"/>
    </row>
    <row r="72" spans="2:20" x14ac:dyDescent="0.25">
      <c r="B72" s="818"/>
      <c r="C72" s="150" t="s">
        <v>123</v>
      </c>
      <c r="D72" s="97"/>
      <c r="E72" s="98" t="s">
        <v>72</v>
      </c>
      <c r="F72" s="99" t="s">
        <v>72</v>
      </c>
      <c r="G72" s="100">
        <v>500</v>
      </c>
      <c r="H72" s="101">
        <f t="shared" si="0"/>
        <v>1500</v>
      </c>
      <c r="I72" s="102">
        <f t="shared" si="1"/>
        <v>2500</v>
      </c>
      <c r="J72" s="14"/>
      <c r="K72" s="832"/>
      <c r="L72" s="149" t="s">
        <v>117</v>
      </c>
      <c r="M72" s="158" t="s">
        <v>72</v>
      </c>
      <c r="N72" s="158" t="s">
        <v>72</v>
      </c>
      <c r="O72" s="825"/>
      <c r="P72" s="825"/>
      <c r="Q72" s="828" t="s">
        <v>115</v>
      </c>
      <c r="R72" s="835"/>
      <c r="S72" s="148" t="s">
        <v>115</v>
      </c>
      <c r="T72" s="14"/>
    </row>
    <row r="73" spans="2:20" x14ac:dyDescent="0.25">
      <c r="B73" s="818"/>
      <c r="C73" s="150" t="s">
        <v>94</v>
      </c>
      <c r="D73" s="97"/>
      <c r="E73" s="98" t="s">
        <v>72</v>
      </c>
      <c r="F73" s="99" t="s">
        <v>72</v>
      </c>
      <c r="G73" s="100">
        <v>1000</v>
      </c>
      <c r="H73" s="101">
        <f t="shared" si="0"/>
        <v>3000</v>
      </c>
      <c r="I73" s="102">
        <f t="shared" si="1"/>
        <v>5000</v>
      </c>
      <c r="J73" s="14"/>
      <c r="K73" s="832"/>
      <c r="L73" s="87" t="s">
        <v>119</v>
      </c>
      <c r="M73" s="152" t="s">
        <v>72</v>
      </c>
      <c r="N73" s="152" t="s">
        <v>72</v>
      </c>
      <c r="O73" s="152" t="s">
        <v>72</v>
      </c>
      <c r="P73" s="153" t="s">
        <v>72</v>
      </c>
      <c r="Q73" s="839" t="s">
        <v>115</v>
      </c>
      <c r="R73" s="840"/>
      <c r="S73" s="159" t="s">
        <v>115</v>
      </c>
      <c r="T73" s="14"/>
    </row>
    <row r="74" spans="2:20" x14ac:dyDescent="0.25">
      <c r="B74" s="818"/>
      <c r="C74" s="150" t="s">
        <v>124</v>
      </c>
      <c r="D74" s="97"/>
      <c r="E74" s="98" t="s">
        <v>72</v>
      </c>
      <c r="F74" s="99" t="s">
        <v>72</v>
      </c>
      <c r="G74" s="100">
        <v>500</v>
      </c>
      <c r="H74" s="101">
        <f t="shared" si="0"/>
        <v>1500</v>
      </c>
      <c r="I74" s="102">
        <f t="shared" si="1"/>
        <v>2500</v>
      </c>
      <c r="J74" s="14"/>
      <c r="K74" s="833"/>
      <c r="L74" s="154" t="s">
        <v>39</v>
      </c>
      <c r="M74" s="160" t="s">
        <v>72</v>
      </c>
      <c r="N74" s="160" t="s">
        <v>72</v>
      </c>
      <c r="O74" s="161" t="str">
        <f>O71</f>
        <v>~50%</v>
      </c>
      <c r="P74" s="161" t="str">
        <f>P71</f>
        <v>~50%</v>
      </c>
      <c r="Q74" s="830" t="s">
        <v>115</v>
      </c>
      <c r="R74" s="841"/>
      <c r="S74" s="157" t="s">
        <v>115</v>
      </c>
      <c r="T74" s="14"/>
    </row>
    <row r="75" spans="2:20" x14ac:dyDescent="0.25">
      <c r="B75" s="818"/>
      <c r="C75" s="80" t="s">
        <v>89</v>
      </c>
      <c r="D75" s="81"/>
      <c r="E75" s="82" t="s">
        <v>72</v>
      </c>
      <c r="F75" s="83" t="s">
        <v>72</v>
      </c>
      <c r="G75" s="84">
        <v>1000</v>
      </c>
      <c r="H75" s="85">
        <f t="shared" si="0"/>
        <v>3000</v>
      </c>
      <c r="I75" s="86">
        <f t="shared" si="1"/>
        <v>5000</v>
      </c>
      <c r="J75" s="14"/>
      <c r="K75" s="14"/>
      <c r="L75" s="14"/>
      <c r="M75" s="14"/>
      <c r="N75" s="14"/>
      <c r="O75" s="12"/>
      <c r="P75" s="14"/>
      <c r="Q75" s="14"/>
      <c r="R75" s="14"/>
      <c r="S75" s="14"/>
      <c r="T75" s="14"/>
    </row>
    <row r="76" spans="2:20" x14ac:dyDescent="0.25">
      <c r="B76" s="162" t="s">
        <v>47</v>
      </c>
      <c r="C76" s="163"/>
      <c r="D76" s="61"/>
      <c r="E76" s="164"/>
      <c r="F76" s="164"/>
      <c r="G76" s="165">
        <f>SUM(G51:G75)</f>
        <v>21000</v>
      </c>
      <c r="H76" s="165">
        <f t="shared" ref="H76:I76" si="2">SUM(H51:H75)</f>
        <v>63000</v>
      </c>
      <c r="I76" s="166">
        <f t="shared" si="2"/>
        <v>105000</v>
      </c>
      <c r="J76" s="14"/>
      <c r="K76" s="842" t="s">
        <v>125</v>
      </c>
      <c r="L76" s="843"/>
      <c r="M76" s="846" t="s">
        <v>126</v>
      </c>
      <c r="N76" s="847"/>
      <c r="O76" s="847" t="s">
        <v>59</v>
      </c>
      <c r="P76" s="847"/>
      <c r="Q76" s="167" t="s">
        <v>127</v>
      </c>
      <c r="R76" s="168"/>
      <c r="S76" s="169"/>
      <c r="T76" s="14"/>
    </row>
    <row r="77" spans="2:20" x14ac:dyDescent="0.25">
      <c r="B77" s="837" t="s">
        <v>128</v>
      </c>
      <c r="C77" s="93" t="s">
        <v>129</v>
      </c>
      <c r="D77" s="68"/>
      <c r="E77" s="170">
        <v>0</v>
      </c>
      <c r="F77" s="171"/>
      <c r="G77" s="172"/>
      <c r="H77" s="172"/>
      <c r="I77" s="173"/>
      <c r="J77" s="14"/>
      <c r="K77" s="844"/>
      <c r="L77" s="845"/>
      <c r="M77" s="174" t="s">
        <v>130</v>
      </c>
      <c r="N77" s="175" t="s">
        <v>131</v>
      </c>
      <c r="O77" s="175" t="s">
        <v>130</v>
      </c>
      <c r="P77" s="175" t="s">
        <v>131</v>
      </c>
      <c r="Q77" s="176" t="s">
        <v>60</v>
      </c>
      <c r="R77" s="176" t="s">
        <v>61</v>
      </c>
      <c r="S77" s="177" t="s">
        <v>62</v>
      </c>
      <c r="T77" s="14"/>
    </row>
    <row r="78" spans="2:20" x14ac:dyDescent="0.25">
      <c r="B78" s="837"/>
      <c r="C78" s="96" t="s">
        <v>128</v>
      </c>
      <c r="D78" s="97"/>
      <c r="E78" s="178">
        <v>0</v>
      </c>
      <c r="F78" s="179"/>
      <c r="G78" s="180"/>
      <c r="H78" s="179"/>
      <c r="I78" s="181"/>
      <c r="J78" s="14"/>
      <c r="K78" s="182" t="s">
        <v>43</v>
      </c>
      <c r="L78" s="25"/>
      <c r="M78" s="183"/>
      <c r="N78" s="75"/>
      <c r="O78" s="184"/>
      <c r="P78" s="75"/>
      <c r="Q78" s="75"/>
      <c r="R78" s="75"/>
      <c r="S78" s="73"/>
      <c r="T78" s="14"/>
    </row>
    <row r="79" spans="2:20" x14ac:dyDescent="0.25">
      <c r="B79" s="837"/>
      <c r="C79" s="96" t="s">
        <v>132</v>
      </c>
      <c r="D79" s="97"/>
      <c r="E79" s="178">
        <v>0</v>
      </c>
      <c r="F79" s="179"/>
      <c r="G79" s="180"/>
      <c r="H79" s="180"/>
      <c r="I79" s="185"/>
      <c r="J79" s="14"/>
      <c r="K79" s="150"/>
      <c r="L79" s="30" t="s">
        <v>110</v>
      </c>
      <c r="M79" s="186"/>
      <c r="N79" s="88"/>
      <c r="O79" s="187"/>
      <c r="P79" s="88"/>
      <c r="Q79" s="105">
        <v>108500</v>
      </c>
      <c r="R79" s="105">
        <f>H76*3.5</f>
        <v>220500</v>
      </c>
      <c r="S79" s="188">
        <v>401800</v>
      </c>
      <c r="T79" s="14"/>
    </row>
    <row r="80" spans="2:20" x14ac:dyDescent="0.25">
      <c r="B80" s="838"/>
      <c r="C80" s="107" t="s">
        <v>133</v>
      </c>
      <c r="D80" s="81"/>
      <c r="E80" s="189">
        <v>0</v>
      </c>
      <c r="F80" s="190"/>
      <c r="G80" s="191"/>
      <c r="H80" s="190"/>
      <c r="I80" s="192"/>
      <c r="J80" s="14"/>
      <c r="K80" s="150"/>
      <c r="L80" s="30" t="s">
        <v>41</v>
      </c>
      <c r="M80" s="186"/>
      <c r="N80" s="88"/>
      <c r="O80" s="187"/>
      <c r="P80" s="88"/>
      <c r="Q80" s="101"/>
      <c r="R80" s="101"/>
      <c r="S80" s="102"/>
      <c r="T80" s="14"/>
    </row>
    <row r="81" spans="2:20" x14ac:dyDescent="0.25">
      <c r="B81" s="836" t="s">
        <v>134</v>
      </c>
      <c r="C81" s="93" t="s">
        <v>135</v>
      </c>
      <c r="D81" s="68"/>
      <c r="E81" s="170">
        <v>0</v>
      </c>
      <c r="F81" s="171"/>
      <c r="G81" s="172"/>
      <c r="H81" s="172"/>
      <c r="I81" s="173"/>
      <c r="J81" s="14"/>
      <c r="K81" s="80"/>
      <c r="L81" s="37" t="s">
        <v>136</v>
      </c>
      <c r="M81" s="193"/>
      <c r="N81" s="112"/>
      <c r="O81" s="194"/>
      <c r="P81" s="112"/>
      <c r="Q81" s="195"/>
      <c r="R81" s="195"/>
      <c r="S81" s="196"/>
      <c r="T81" s="14"/>
    </row>
    <row r="82" spans="2:20" x14ac:dyDescent="0.25">
      <c r="B82" s="837"/>
      <c r="C82" s="96" t="s">
        <v>137</v>
      </c>
      <c r="D82" s="97"/>
      <c r="E82" s="178">
        <v>0</v>
      </c>
      <c r="F82" s="179"/>
      <c r="G82" s="180"/>
      <c r="H82" s="180"/>
      <c r="I82" s="185"/>
      <c r="J82" s="14"/>
      <c r="K82" s="24" t="s">
        <v>138</v>
      </c>
      <c r="L82" s="25"/>
      <c r="M82" s="197">
        <f>M83+M84</f>
        <v>135700</v>
      </c>
      <c r="N82" s="197">
        <f>N83+N84</f>
        <v>29300</v>
      </c>
      <c r="O82" s="184"/>
      <c r="P82" s="75"/>
      <c r="Q82" s="72"/>
      <c r="R82" s="72"/>
      <c r="S82" s="73"/>
      <c r="T82" s="14"/>
    </row>
    <row r="83" spans="2:20" x14ac:dyDescent="0.25">
      <c r="B83" s="837"/>
      <c r="C83" s="96" t="s">
        <v>139</v>
      </c>
      <c r="D83" s="97"/>
      <c r="E83" s="178">
        <v>0</v>
      </c>
      <c r="F83" s="179"/>
      <c r="G83" s="180"/>
      <c r="H83" s="180"/>
      <c r="I83" s="185"/>
      <c r="J83" s="14"/>
      <c r="K83" s="150"/>
      <c r="L83" s="30" t="s">
        <v>110</v>
      </c>
      <c r="M83" s="198">
        <f>ROUND([1]Run!F34,-2)</f>
        <v>24900</v>
      </c>
      <c r="N83" s="101">
        <f>ROUND([1]Run!K34,-2)</f>
        <v>4800</v>
      </c>
      <c r="O83" s="187"/>
      <c r="P83" s="88"/>
      <c r="Q83" s="101"/>
      <c r="R83" s="101"/>
      <c r="S83" s="102"/>
      <c r="T83" s="14"/>
    </row>
    <row r="84" spans="2:20" x14ac:dyDescent="0.25">
      <c r="B84" s="838"/>
      <c r="C84" s="107" t="s">
        <v>140</v>
      </c>
      <c r="D84" s="81"/>
      <c r="E84" s="189">
        <v>0</v>
      </c>
      <c r="F84" s="190"/>
      <c r="G84" s="191"/>
      <c r="H84" s="191"/>
      <c r="I84" s="199"/>
      <c r="J84" s="14"/>
      <c r="K84" s="150"/>
      <c r="L84" s="30" t="s">
        <v>41</v>
      </c>
      <c r="M84" s="198">
        <f>ROUND([1]Run!E34,-2)</f>
        <v>110800</v>
      </c>
      <c r="N84" s="101">
        <f>ROUND([1]Run!J34,-2)</f>
        <v>24500</v>
      </c>
      <c r="O84" s="187"/>
      <c r="P84" s="88"/>
      <c r="Q84" s="101"/>
      <c r="R84" s="101">
        <v>76104</v>
      </c>
      <c r="S84" s="102"/>
      <c r="T84" s="14"/>
    </row>
    <row r="85" spans="2:20" x14ac:dyDescent="0.25">
      <c r="B85" s="836" t="s">
        <v>141</v>
      </c>
      <c r="C85" s="93" t="s">
        <v>142</v>
      </c>
      <c r="D85" s="68"/>
      <c r="E85" s="170">
        <v>0</v>
      </c>
      <c r="F85" s="171"/>
      <c r="G85" s="172"/>
      <c r="H85" s="172"/>
      <c r="I85" s="173"/>
      <c r="J85" s="14"/>
      <c r="K85" s="80"/>
      <c r="L85" s="37" t="s">
        <v>136</v>
      </c>
      <c r="M85" s="200">
        <f>M84/M82</f>
        <v>0.81650700073691973</v>
      </c>
      <c r="N85" s="200">
        <f>N84/N82</f>
        <v>0.83617747440273038</v>
      </c>
      <c r="O85" s="194"/>
      <c r="P85" s="112"/>
      <c r="Q85" s="195"/>
      <c r="R85" s="195"/>
      <c r="S85" s="196"/>
      <c r="T85" s="14"/>
    </row>
    <row r="86" spans="2:20" x14ac:dyDescent="0.25">
      <c r="B86" s="837"/>
      <c r="C86" s="96" t="s">
        <v>143</v>
      </c>
      <c r="D86" s="97"/>
      <c r="E86" s="178">
        <v>0</v>
      </c>
      <c r="F86" s="179"/>
      <c r="G86" s="180"/>
      <c r="H86" s="180"/>
      <c r="I86" s="185"/>
      <c r="J86" s="14"/>
      <c r="K86" s="24" t="s">
        <v>45</v>
      </c>
      <c r="L86" s="25"/>
      <c r="M86" s="183"/>
      <c r="N86" s="75"/>
      <c r="O86" s="184"/>
      <c r="P86" s="75"/>
      <c r="Q86" s="72"/>
      <c r="R86" s="72"/>
      <c r="S86" s="73"/>
      <c r="T86" s="14"/>
    </row>
    <row r="87" spans="2:20" x14ac:dyDescent="0.25">
      <c r="B87" s="837"/>
      <c r="C87" s="96" t="s">
        <v>144</v>
      </c>
      <c r="D87" s="97"/>
      <c r="E87" s="178">
        <v>0</v>
      </c>
      <c r="F87" s="179"/>
      <c r="G87" s="180"/>
      <c r="H87" s="180"/>
      <c r="I87" s="185"/>
      <c r="J87" s="14"/>
      <c r="K87" s="201"/>
      <c r="L87" s="30" t="s">
        <v>110</v>
      </c>
      <c r="M87" s="186"/>
      <c r="N87" s="88"/>
      <c r="O87" s="187"/>
      <c r="P87" s="88"/>
      <c r="Q87" s="101"/>
      <c r="R87" s="101"/>
      <c r="S87" s="102"/>
      <c r="T87" s="14"/>
    </row>
    <row r="88" spans="2:20" x14ac:dyDescent="0.25">
      <c r="B88" s="838"/>
      <c r="C88" s="107" t="s">
        <v>145</v>
      </c>
      <c r="D88" s="81"/>
      <c r="E88" s="189">
        <v>0</v>
      </c>
      <c r="F88" s="190"/>
      <c r="G88" s="191"/>
      <c r="H88" s="191"/>
      <c r="I88" s="199"/>
      <c r="J88" s="14"/>
      <c r="K88" s="201"/>
      <c r="L88" s="30" t="s">
        <v>41</v>
      </c>
      <c r="M88" s="186"/>
      <c r="N88" s="88"/>
      <c r="O88" s="187"/>
      <c r="P88" s="88"/>
      <c r="Q88" s="101"/>
      <c r="R88" s="101"/>
      <c r="S88" s="102"/>
      <c r="T88" s="14"/>
    </row>
    <row r="89" spans="2:20" x14ac:dyDescent="0.25">
      <c r="B89" s="836" t="s">
        <v>146</v>
      </c>
      <c r="C89" s="93" t="s">
        <v>147</v>
      </c>
      <c r="D89" s="68"/>
      <c r="E89" s="170">
        <v>0</v>
      </c>
      <c r="F89" s="171"/>
      <c r="G89" s="172"/>
      <c r="H89" s="172"/>
      <c r="I89" s="173"/>
      <c r="J89" s="14"/>
      <c r="K89" s="80"/>
      <c r="L89" s="37" t="s">
        <v>136</v>
      </c>
      <c r="M89" s="193"/>
      <c r="N89" s="112"/>
      <c r="O89" s="194"/>
      <c r="P89" s="112"/>
      <c r="Q89" s="195"/>
      <c r="R89" s="195"/>
      <c r="S89" s="196"/>
      <c r="T89" s="14"/>
    </row>
    <row r="90" spans="2:20" x14ac:dyDescent="0.25">
      <c r="B90" s="837"/>
      <c r="C90" s="96" t="s">
        <v>148</v>
      </c>
      <c r="D90" s="97"/>
      <c r="E90" s="178">
        <v>0</v>
      </c>
      <c r="F90" s="179"/>
      <c r="G90" s="180"/>
      <c r="H90" s="179"/>
      <c r="I90" s="181"/>
      <c r="J90" s="14"/>
      <c r="K90" s="24" t="s">
        <v>149</v>
      </c>
      <c r="L90" s="68"/>
      <c r="M90" s="183"/>
      <c r="N90" s="75"/>
      <c r="O90" s="184"/>
      <c r="P90" s="75"/>
      <c r="Q90" s="72"/>
      <c r="R90" s="72"/>
      <c r="S90" s="73"/>
      <c r="T90" s="14"/>
    </row>
    <row r="91" spans="2:20" x14ac:dyDescent="0.25">
      <c r="B91" s="837"/>
      <c r="C91" s="107" t="s">
        <v>150</v>
      </c>
      <c r="D91" s="81"/>
      <c r="E91" s="202">
        <v>0</v>
      </c>
      <c r="F91" s="112"/>
      <c r="G91" s="112"/>
      <c r="H91" s="112"/>
      <c r="I91" s="115"/>
      <c r="J91" s="14"/>
      <c r="K91" s="201"/>
      <c r="L91" s="30" t="s">
        <v>110</v>
      </c>
      <c r="M91" s="186"/>
      <c r="N91" s="88"/>
      <c r="O91" s="187"/>
      <c r="P91" s="88"/>
      <c r="Q91" s="101"/>
      <c r="R91" s="101"/>
      <c r="S91" s="102"/>
      <c r="T91" s="14"/>
    </row>
    <row r="92" spans="2:20" x14ac:dyDescent="0.25">
      <c r="B92" s="162" t="s">
        <v>47</v>
      </c>
      <c r="C92" s="203"/>
      <c r="D92" s="204"/>
      <c r="E92" s="205"/>
      <c r="F92" s="205"/>
      <c r="G92" s="205"/>
      <c r="H92" s="205"/>
      <c r="I92" s="206"/>
      <c r="J92" s="14"/>
      <c r="K92" s="201"/>
      <c r="L92" s="30" t="s">
        <v>41</v>
      </c>
      <c r="M92" s="186"/>
      <c r="N92" s="88"/>
      <c r="O92" s="187"/>
      <c r="P92" s="88"/>
      <c r="Q92" s="101"/>
      <c r="R92" s="101"/>
      <c r="S92" s="102"/>
      <c r="T92" s="14"/>
    </row>
    <row r="93" spans="2:20" x14ac:dyDescent="0.25">
      <c r="B93" s="12"/>
      <c r="C93" s="12"/>
      <c r="D93" s="12"/>
      <c r="E93" s="12"/>
      <c r="F93" s="12"/>
      <c r="G93" s="12"/>
      <c r="H93" s="14"/>
      <c r="I93" s="12"/>
      <c r="J93" s="14"/>
      <c r="K93" s="80"/>
      <c r="L93" s="37" t="s">
        <v>136</v>
      </c>
      <c r="M93" s="193"/>
      <c r="N93" s="112"/>
      <c r="O93" s="194"/>
      <c r="P93" s="112"/>
      <c r="Q93" s="195"/>
      <c r="R93" s="195"/>
      <c r="S93" s="196"/>
      <c r="T93" s="14"/>
    </row>
    <row r="94" spans="2:20" x14ac:dyDescent="0.25">
      <c r="I94" s="12"/>
      <c r="J94" s="14"/>
      <c r="K94" s="14"/>
      <c r="L94" s="14"/>
      <c r="M94" s="14"/>
      <c r="N94" s="14"/>
      <c r="O94" s="14"/>
      <c r="P94" s="14"/>
    </row>
  </sheetData>
  <mergeCells count="29">
    <mergeCell ref="B85:B88"/>
    <mergeCell ref="B89:B91"/>
    <mergeCell ref="Q73:R73"/>
    <mergeCell ref="Q74:R74"/>
    <mergeCell ref="K76:L77"/>
    <mergeCell ref="M76:N76"/>
    <mergeCell ref="O76:P76"/>
    <mergeCell ref="B77:B80"/>
    <mergeCell ref="O71:O72"/>
    <mergeCell ref="P71:P72"/>
    <mergeCell ref="Q71:R71"/>
    <mergeCell ref="Q72:R72"/>
    <mergeCell ref="B81:B84"/>
    <mergeCell ref="Q49:R49"/>
    <mergeCell ref="B51:B52"/>
    <mergeCell ref="B53:B58"/>
    <mergeCell ref="B59:B62"/>
    <mergeCell ref="B64:B75"/>
    <mergeCell ref="Q64:R64"/>
    <mergeCell ref="K65:K69"/>
    <mergeCell ref="Q65:R65"/>
    <mergeCell ref="O66:O67"/>
    <mergeCell ref="P66:P67"/>
    <mergeCell ref="Q66:R66"/>
    <mergeCell ref="Q67:R67"/>
    <mergeCell ref="Q68:R68"/>
    <mergeCell ref="Q69:R69"/>
    <mergeCell ref="K70:K74"/>
    <mergeCell ref="Q70:R70"/>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8E9A7-8A4A-4BC0-8B7B-47871007C935}">
  <dimension ref="B2:BR39"/>
  <sheetViews>
    <sheetView workbookViewId="0">
      <selection activeCell="A4" sqref="A4"/>
    </sheetView>
  </sheetViews>
  <sheetFormatPr defaultRowHeight="15" x14ac:dyDescent="0.25"/>
  <cols>
    <col min="5" max="5" width="9.7109375" bestFit="1" customWidth="1"/>
    <col min="41" max="41" width="5.5703125" customWidth="1"/>
    <col min="49" max="49" width="3.85546875" customWidth="1"/>
    <col min="52" max="52" width="10.85546875" customWidth="1"/>
  </cols>
  <sheetData>
    <row r="2" spans="2:70" ht="19.5" thickBot="1" x14ac:dyDescent="0.3">
      <c r="B2" s="207" t="s">
        <v>151</v>
      </c>
      <c r="T2" s="208" t="s">
        <v>152</v>
      </c>
      <c r="AX2" t="s">
        <v>153</v>
      </c>
      <c r="BE2" s="209" t="s">
        <v>154</v>
      </c>
    </row>
    <row r="3" spans="2:70" ht="15" customHeight="1" thickBot="1" x14ac:dyDescent="0.3">
      <c r="B3" s="850" t="s">
        <v>155</v>
      </c>
      <c r="C3" s="852" t="s">
        <v>41</v>
      </c>
      <c r="D3" s="854" t="s">
        <v>156</v>
      </c>
      <c r="E3" s="854"/>
      <c r="F3" s="854"/>
      <c r="G3" s="855" t="s">
        <v>39</v>
      </c>
      <c r="H3" s="852" t="s">
        <v>41</v>
      </c>
      <c r="I3" s="210" t="s">
        <v>157</v>
      </c>
      <c r="J3" s="211"/>
      <c r="K3" s="848" t="s">
        <v>158</v>
      </c>
      <c r="L3" s="855" t="s">
        <v>39</v>
      </c>
      <c r="M3" s="852" t="s">
        <v>41</v>
      </c>
      <c r="N3" s="210" t="s">
        <v>39</v>
      </c>
      <c r="O3" s="211"/>
      <c r="P3" s="870" t="s">
        <v>158</v>
      </c>
      <c r="Q3" s="855" t="s">
        <v>39</v>
      </c>
      <c r="R3" s="212" t="s">
        <v>159</v>
      </c>
      <c r="T3" s="872" t="s">
        <v>160</v>
      </c>
      <c r="U3" s="857" t="s">
        <v>161</v>
      </c>
      <c r="V3" s="858"/>
      <c r="W3" s="858"/>
      <c r="X3" s="859"/>
      <c r="Y3" s="857" t="s">
        <v>162</v>
      </c>
      <c r="Z3" s="858"/>
      <c r="AA3" s="858"/>
      <c r="AB3" s="859"/>
      <c r="AC3" s="857" t="s">
        <v>163</v>
      </c>
      <c r="AD3" s="858"/>
      <c r="AE3" s="858"/>
      <c r="AF3" s="859"/>
      <c r="AG3" s="860" t="s">
        <v>164</v>
      </c>
      <c r="AH3" s="861"/>
      <c r="AI3" s="861"/>
      <c r="AJ3" s="213" t="s">
        <v>165</v>
      </c>
      <c r="AK3" s="214" t="s">
        <v>165</v>
      </c>
      <c r="AL3" s="862" t="s">
        <v>166</v>
      </c>
      <c r="AM3" s="862"/>
      <c r="AN3" s="213" t="s">
        <v>165</v>
      </c>
    </row>
    <row r="4" spans="2:70" ht="16.149999999999999" customHeight="1" thickBot="1" x14ac:dyDescent="0.3">
      <c r="B4" s="851"/>
      <c r="C4" s="853"/>
      <c r="D4" s="863" t="s">
        <v>158</v>
      </c>
      <c r="E4" s="863"/>
      <c r="F4" s="863"/>
      <c r="G4" s="856"/>
      <c r="H4" s="853"/>
      <c r="I4" s="215" t="s">
        <v>165</v>
      </c>
      <c r="J4" s="215"/>
      <c r="K4" s="849"/>
      <c r="L4" s="856"/>
      <c r="M4" s="853"/>
      <c r="N4" s="215" t="s">
        <v>165</v>
      </c>
      <c r="O4" s="215"/>
      <c r="P4" s="871"/>
      <c r="Q4" s="856"/>
      <c r="R4" s="212" t="s">
        <v>167</v>
      </c>
      <c r="T4" s="873"/>
      <c r="U4" s="864" t="s">
        <v>168</v>
      </c>
      <c r="V4" s="865"/>
      <c r="W4" s="868" t="s">
        <v>169</v>
      </c>
      <c r="X4" s="869"/>
      <c r="Y4" s="868" t="s">
        <v>170</v>
      </c>
      <c r="Z4" s="869"/>
      <c r="AA4" s="868" t="s">
        <v>169</v>
      </c>
      <c r="AB4" s="869"/>
      <c r="AC4" s="868" t="s">
        <v>170</v>
      </c>
      <c r="AD4" s="869"/>
      <c r="AE4" s="868" t="s">
        <v>169</v>
      </c>
      <c r="AF4" s="869"/>
      <c r="AG4" s="868" t="s">
        <v>171</v>
      </c>
      <c r="AH4" s="886"/>
      <c r="AI4" s="886"/>
      <c r="AJ4" s="869"/>
      <c r="AK4" s="868" t="s">
        <v>172</v>
      </c>
      <c r="AL4" s="869"/>
      <c r="AM4" s="868" t="s">
        <v>173</v>
      </c>
      <c r="AN4" s="869"/>
      <c r="BE4" s="850" t="s">
        <v>160</v>
      </c>
      <c r="BF4" s="876" t="s">
        <v>174</v>
      </c>
      <c r="BG4" s="877"/>
      <c r="BH4" s="216" t="s">
        <v>165</v>
      </c>
      <c r="BI4" s="854" t="s">
        <v>175</v>
      </c>
      <c r="BJ4" s="854"/>
      <c r="BK4" s="217" t="s">
        <v>165</v>
      </c>
      <c r="BL4" s="216" t="s">
        <v>165</v>
      </c>
      <c r="BM4" s="210" t="s">
        <v>176</v>
      </c>
      <c r="BN4" s="216" t="s">
        <v>165</v>
      </c>
      <c r="BO4" s="217" t="s">
        <v>165</v>
      </c>
      <c r="BP4" s="216" t="s">
        <v>165</v>
      </c>
      <c r="BQ4" s="218" t="s">
        <v>177</v>
      </c>
      <c r="BR4" s="217" t="s">
        <v>165</v>
      </c>
    </row>
    <row r="5" spans="2:70" ht="26.45" customHeight="1" thickTop="1" thickBot="1" x14ac:dyDescent="0.3">
      <c r="B5" s="219" t="s">
        <v>165</v>
      </c>
      <c r="C5" s="220" t="s">
        <v>178</v>
      </c>
      <c r="D5" s="220" t="s">
        <v>173</v>
      </c>
      <c r="E5" s="220"/>
      <c r="F5" s="221" t="s">
        <v>165</v>
      </c>
      <c r="G5" s="222" t="s">
        <v>165</v>
      </c>
      <c r="H5" s="223" t="s">
        <v>178</v>
      </c>
      <c r="I5" s="223" t="s">
        <v>173</v>
      </c>
      <c r="J5" s="223"/>
      <c r="K5" s="221" t="s">
        <v>165</v>
      </c>
      <c r="L5" s="222" t="s">
        <v>165</v>
      </c>
      <c r="M5" s="223" t="s">
        <v>178</v>
      </c>
      <c r="N5" s="223" t="s">
        <v>173</v>
      </c>
      <c r="O5" s="223" t="s">
        <v>39</v>
      </c>
      <c r="P5" s="221" t="s">
        <v>165</v>
      </c>
      <c r="Q5" s="222" t="s">
        <v>165</v>
      </c>
      <c r="T5" s="873"/>
      <c r="U5" s="866"/>
      <c r="V5" s="867"/>
      <c r="W5" s="883" t="s">
        <v>173</v>
      </c>
      <c r="X5" s="884"/>
      <c r="Y5" s="883" t="s">
        <v>41</v>
      </c>
      <c r="Z5" s="884"/>
      <c r="AA5" s="883" t="s">
        <v>173</v>
      </c>
      <c r="AB5" s="884"/>
      <c r="AC5" s="883" t="s">
        <v>41</v>
      </c>
      <c r="AD5" s="884"/>
      <c r="AE5" s="883" t="s">
        <v>173</v>
      </c>
      <c r="AF5" s="884"/>
      <c r="AG5" s="883" t="s">
        <v>179</v>
      </c>
      <c r="AH5" s="885"/>
      <c r="AI5" s="885"/>
      <c r="AJ5" s="884"/>
      <c r="AK5" s="883"/>
      <c r="AL5" s="884"/>
      <c r="AM5" s="883"/>
      <c r="AN5" s="884"/>
      <c r="AP5" s="850" t="s">
        <v>160</v>
      </c>
      <c r="AQ5" s="852" t="s">
        <v>180</v>
      </c>
      <c r="AR5" s="855"/>
      <c r="AS5" s="852" t="s">
        <v>181</v>
      </c>
      <c r="AT5" s="855"/>
      <c r="AU5" s="852" t="s">
        <v>182</v>
      </c>
      <c r="AV5" s="855"/>
      <c r="AX5" s="878" t="s">
        <v>160</v>
      </c>
      <c r="AY5" s="880" t="s">
        <v>183</v>
      </c>
      <c r="AZ5" s="881"/>
      <c r="BA5" s="882" t="s">
        <v>184</v>
      </c>
      <c r="BB5" s="894" t="s">
        <v>158</v>
      </c>
      <c r="BC5" s="224" t="s">
        <v>185</v>
      </c>
      <c r="BE5" s="875"/>
      <c r="BF5" s="852" t="s">
        <v>158</v>
      </c>
      <c r="BG5" s="855" t="s">
        <v>39</v>
      </c>
      <c r="BH5" s="889" t="s">
        <v>172</v>
      </c>
      <c r="BI5" s="848" t="s">
        <v>173</v>
      </c>
      <c r="BJ5" s="848"/>
      <c r="BK5" s="855" t="s">
        <v>39</v>
      </c>
      <c r="BL5" s="889" t="s">
        <v>172</v>
      </c>
      <c r="BM5" s="848" t="s">
        <v>186</v>
      </c>
      <c r="BN5" s="870" t="s">
        <v>158</v>
      </c>
      <c r="BO5" s="855" t="s">
        <v>39</v>
      </c>
      <c r="BP5" s="891" t="s">
        <v>41</v>
      </c>
      <c r="BQ5" s="892" t="s">
        <v>158</v>
      </c>
      <c r="BR5" s="855" t="s">
        <v>39</v>
      </c>
    </row>
    <row r="6" spans="2:70" ht="16.149999999999999" customHeight="1" thickBot="1" x14ac:dyDescent="0.3">
      <c r="B6" s="225" t="s">
        <v>165</v>
      </c>
      <c r="C6" s="226" t="s">
        <v>41</v>
      </c>
      <c r="D6" s="226" t="s">
        <v>41</v>
      </c>
      <c r="E6" s="226" t="s">
        <v>187</v>
      </c>
      <c r="F6" s="226" t="s">
        <v>158</v>
      </c>
      <c r="G6" s="227" t="s">
        <v>39</v>
      </c>
      <c r="H6" s="228" t="s">
        <v>41</v>
      </c>
      <c r="I6" s="228" t="s">
        <v>41</v>
      </c>
      <c r="J6" s="228" t="s">
        <v>187</v>
      </c>
      <c r="K6" s="228" t="s">
        <v>158</v>
      </c>
      <c r="L6" s="227" t="s">
        <v>39</v>
      </c>
      <c r="M6" s="228" t="s">
        <v>41</v>
      </c>
      <c r="N6" s="228" t="s">
        <v>41</v>
      </c>
      <c r="O6" s="229" t="s">
        <v>41</v>
      </c>
      <c r="P6" s="228" t="s">
        <v>158</v>
      </c>
      <c r="Q6" s="227" t="s">
        <v>39</v>
      </c>
      <c r="T6" s="874"/>
      <c r="U6" s="230" t="s">
        <v>175</v>
      </c>
      <c r="V6" s="231" t="s">
        <v>176</v>
      </c>
      <c r="W6" s="230" t="s">
        <v>175</v>
      </c>
      <c r="X6" s="231" t="s">
        <v>176</v>
      </c>
      <c r="Y6" s="230" t="s">
        <v>175</v>
      </c>
      <c r="Z6" s="231" t="s">
        <v>176</v>
      </c>
      <c r="AA6" s="230" t="s">
        <v>175</v>
      </c>
      <c r="AB6" s="231" t="s">
        <v>176</v>
      </c>
      <c r="AC6" s="230" t="s">
        <v>175</v>
      </c>
      <c r="AD6" s="231" t="s">
        <v>176</v>
      </c>
      <c r="AE6" s="230" t="s">
        <v>175</v>
      </c>
      <c r="AF6" s="231" t="s">
        <v>176</v>
      </c>
      <c r="AG6" s="230" t="s">
        <v>175</v>
      </c>
      <c r="AH6" s="231" t="s">
        <v>176</v>
      </c>
      <c r="AI6" s="230" t="s">
        <v>175</v>
      </c>
      <c r="AJ6" s="231" t="s">
        <v>176</v>
      </c>
      <c r="AK6" s="230" t="s">
        <v>175</v>
      </c>
      <c r="AL6" s="231" t="s">
        <v>176</v>
      </c>
      <c r="AM6" s="230" t="s">
        <v>175</v>
      </c>
      <c r="AN6" s="231" t="s">
        <v>176</v>
      </c>
      <c r="AP6" s="851"/>
      <c r="AQ6" s="853" t="s">
        <v>188</v>
      </c>
      <c r="AR6" s="856"/>
      <c r="AS6" s="853" t="s">
        <v>188</v>
      </c>
      <c r="AT6" s="856"/>
      <c r="AU6" s="853" t="s">
        <v>188</v>
      </c>
      <c r="AV6" s="856"/>
      <c r="AX6" s="879"/>
      <c r="AY6" s="887" t="s">
        <v>188</v>
      </c>
      <c r="AZ6" s="888"/>
      <c r="BA6" s="856"/>
      <c r="BB6" s="890"/>
      <c r="BC6" s="232" t="s">
        <v>184</v>
      </c>
      <c r="BE6" s="851"/>
      <c r="BF6" s="853"/>
      <c r="BG6" s="856"/>
      <c r="BH6" s="890"/>
      <c r="BI6" s="849" t="s">
        <v>189</v>
      </c>
      <c r="BJ6" s="849"/>
      <c r="BK6" s="856"/>
      <c r="BL6" s="890"/>
      <c r="BM6" s="849"/>
      <c r="BN6" s="871"/>
      <c r="BO6" s="856"/>
      <c r="BP6" s="887"/>
      <c r="BQ6" s="893"/>
      <c r="BR6" s="856"/>
    </row>
    <row r="7" spans="2:70" ht="16.149999999999999" customHeight="1" x14ac:dyDescent="0.25">
      <c r="B7" s="233" t="s">
        <v>190</v>
      </c>
      <c r="C7" s="234">
        <v>69885</v>
      </c>
      <c r="D7" s="221"/>
      <c r="E7" s="235">
        <f>D7+C7</f>
        <v>69885</v>
      </c>
      <c r="F7" s="234">
        <v>14135</v>
      </c>
      <c r="G7" s="236">
        <v>84020</v>
      </c>
      <c r="H7" s="237">
        <v>11883</v>
      </c>
      <c r="I7" s="221"/>
      <c r="J7" s="235">
        <f t="shared" ref="J7:J32" si="0">I7+H7</f>
        <v>11883</v>
      </c>
      <c r="K7" s="237">
        <v>3182</v>
      </c>
      <c r="L7" s="236">
        <v>15065</v>
      </c>
      <c r="M7" s="237">
        <v>81768</v>
      </c>
      <c r="N7" s="221"/>
      <c r="O7" s="238">
        <f t="shared" ref="O7:O31" si="1">M7+N7</f>
        <v>81768</v>
      </c>
      <c r="P7" s="237">
        <v>17317</v>
      </c>
      <c r="Q7" s="236">
        <v>99085</v>
      </c>
      <c r="R7" s="239">
        <v>1991</v>
      </c>
      <c r="T7" s="240">
        <v>1999</v>
      </c>
      <c r="U7" s="241">
        <v>125</v>
      </c>
      <c r="V7" s="241">
        <v>52</v>
      </c>
      <c r="W7" s="241">
        <v>35</v>
      </c>
      <c r="X7" s="242">
        <v>9</v>
      </c>
      <c r="Y7" s="243">
        <v>3577</v>
      </c>
      <c r="Z7" s="241">
        <v>469</v>
      </c>
      <c r="AA7" s="241">
        <v>123</v>
      </c>
      <c r="AB7" s="242">
        <v>5</v>
      </c>
      <c r="AC7" s="243">
        <v>4522</v>
      </c>
      <c r="AD7" s="241">
        <v>929</v>
      </c>
      <c r="AE7" s="241">
        <v>113</v>
      </c>
      <c r="AF7" s="242">
        <v>23</v>
      </c>
      <c r="AG7" s="243">
        <v>2712</v>
      </c>
      <c r="AH7" s="241">
        <v>681</v>
      </c>
      <c r="AI7" s="241">
        <v>96</v>
      </c>
      <c r="AJ7" s="242">
        <v>12</v>
      </c>
      <c r="AK7" s="243">
        <v>10937</v>
      </c>
      <c r="AL7" s="244">
        <v>2132</v>
      </c>
      <c r="AM7" s="241">
        <v>367</v>
      </c>
      <c r="AN7" s="242">
        <v>49</v>
      </c>
      <c r="AP7" s="245">
        <v>1999</v>
      </c>
      <c r="AQ7" s="220">
        <v>367</v>
      </c>
      <c r="AR7" s="246">
        <v>49</v>
      </c>
      <c r="AS7" s="247">
        <v>6.0000000000000001E-3</v>
      </c>
      <c r="AT7" s="248">
        <v>1.2999999999999999E-2</v>
      </c>
      <c r="AU7" s="249">
        <v>0.02</v>
      </c>
      <c r="AV7" s="250">
        <v>0.02</v>
      </c>
      <c r="AX7" s="251">
        <v>1999</v>
      </c>
      <c r="AY7" s="247">
        <v>5.3999999999999999E-2</v>
      </c>
      <c r="AZ7" s="247">
        <v>0.126</v>
      </c>
      <c r="BA7" s="222" t="s">
        <v>165</v>
      </c>
      <c r="BB7" s="247">
        <v>0.15</v>
      </c>
      <c r="BC7" s="252" t="s">
        <v>165</v>
      </c>
      <c r="BE7" s="245">
        <v>1984</v>
      </c>
      <c r="BF7" s="237">
        <v>2490</v>
      </c>
      <c r="BG7" s="236">
        <v>20780</v>
      </c>
      <c r="BH7" s="223" t="s">
        <v>191</v>
      </c>
      <c r="BI7" s="253" t="s">
        <v>191</v>
      </c>
      <c r="BJ7" s="237">
        <v>52447</v>
      </c>
      <c r="BK7" s="254">
        <v>195751</v>
      </c>
      <c r="BL7" s="223" t="s">
        <v>191</v>
      </c>
      <c r="BM7" s="223" t="s">
        <v>191</v>
      </c>
      <c r="BN7" s="237">
        <v>13768</v>
      </c>
      <c r="BO7" s="236">
        <v>98011</v>
      </c>
      <c r="BP7" s="237">
        <v>245837</v>
      </c>
      <c r="BQ7" s="237">
        <v>68705</v>
      </c>
      <c r="BR7" s="254">
        <v>314542</v>
      </c>
    </row>
    <row r="8" spans="2:70" ht="15.75" x14ac:dyDescent="0.25">
      <c r="B8" s="233" t="s">
        <v>192</v>
      </c>
      <c r="C8" s="234">
        <v>83420</v>
      </c>
      <c r="D8" s="221"/>
      <c r="E8" s="235">
        <f t="shared" ref="E8:E32" si="2">D8+C8</f>
        <v>83420</v>
      </c>
      <c r="F8" s="234">
        <v>13617</v>
      </c>
      <c r="G8" s="236">
        <v>97037</v>
      </c>
      <c r="H8" s="237">
        <v>25566</v>
      </c>
      <c r="I8" s="221"/>
      <c r="J8" s="235">
        <f t="shared" si="0"/>
        <v>25566</v>
      </c>
      <c r="K8" s="237">
        <v>5777</v>
      </c>
      <c r="L8" s="236">
        <v>31343</v>
      </c>
      <c r="M8" s="237">
        <v>108986</v>
      </c>
      <c r="N8" s="221"/>
      <c r="O8" s="238">
        <f t="shared" si="1"/>
        <v>108986</v>
      </c>
      <c r="P8" s="237">
        <v>19394</v>
      </c>
      <c r="Q8" s="236">
        <v>128380</v>
      </c>
      <c r="R8" s="255">
        <f>R7+1</f>
        <v>1992</v>
      </c>
      <c r="T8" s="240">
        <v>2000</v>
      </c>
      <c r="U8" s="241">
        <v>217</v>
      </c>
      <c r="V8" s="241">
        <v>56</v>
      </c>
      <c r="W8" s="241">
        <v>67</v>
      </c>
      <c r="X8" s="242">
        <v>14</v>
      </c>
      <c r="Y8" s="243">
        <v>4401</v>
      </c>
      <c r="Z8" s="241">
        <v>649</v>
      </c>
      <c r="AA8" s="241">
        <v>165</v>
      </c>
      <c r="AB8" s="242">
        <v>31</v>
      </c>
      <c r="AC8" s="243">
        <v>5167</v>
      </c>
      <c r="AD8" s="243">
        <v>1925</v>
      </c>
      <c r="AE8" s="241">
        <v>150</v>
      </c>
      <c r="AF8" s="242">
        <v>28</v>
      </c>
      <c r="AG8" s="243">
        <v>8701</v>
      </c>
      <c r="AH8" s="243">
        <v>1896</v>
      </c>
      <c r="AI8" s="241">
        <v>274</v>
      </c>
      <c r="AJ8" s="242">
        <v>54</v>
      </c>
      <c r="AK8" s="243">
        <v>18486</v>
      </c>
      <c r="AL8" s="244">
        <v>4527</v>
      </c>
      <c r="AM8" s="241">
        <v>656</v>
      </c>
      <c r="AN8" s="242">
        <v>127</v>
      </c>
      <c r="AP8" s="245">
        <v>2000</v>
      </c>
      <c r="AQ8" s="220">
        <v>656</v>
      </c>
      <c r="AR8" s="246">
        <v>127</v>
      </c>
      <c r="AS8" s="247">
        <v>0.01</v>
      </c>
      <c r="AT8" s="248">
        <v>1.4999999999999999E-2</v>
      </c>
      <c r="AU8" s="249">
        <v>0.02</v>
      </c>
      <c r="AV8" s="250">
        <v>0.02</v>
      </c>
      <c r="AX8" s="251">
        <v>2000</v>
      </c>
      <c r="AY8" s="247">
        <v>4.2999999999999997E-2</v>
      </c>
      <c r="AZ8" s="247">
        <v>0.14299999999999999</v>
      </c>
      <c r="BA8" s="222" t="s">
        <v>165</v>
      </c>
      <c r="BB8" s="247">
        <v>0.15</v>
      </c>
      <c r="BC8" s="252" t="s">
        <v>165</v>
      </c>
      <c r="BE8" s="245">
        <v>1985</v>
      </c>
      <c r="BF8" s="237">
        <v>3690</v>
      </c>
      <c r="BG8" s="236">
        <v>19990</v>
      </c>
      <c r="BH8" s="223" t="s">
        <v>191</v>
      </c>
      <c r="BI8" s="253" t="s">
        <v>191</v>
      </c>
      <c r="BJ8" s="237">
        <v>51922</v>
      </c>
      <c r="BK8" s="254">
        <v>281504</v>
      </c>
      <c r="BL8" s="223" t="s">
        <v>191</v>
      </c>
      <c r="BM8" s="223" t="s">
        <v>191</v>
      </c>
      <c r="BN8" s="237">
        <v>12986</v>
      </c>
      <c r="BO8" s="236">
        <v>40870</v>
      </c>
      <c r="BP8" s="237">
        <v>273766</v>
      </c>
      <c r="BQ8" s="237">
        <v>68598</v>
      </c>
      <c r="BR8" s="254">
        <v>342364</v>
      </c>
    </row>
    <row r="9" spans="2:70" ht="15.75" x14ac:dyDescent="0.25">
      <c r="B9" s="233" t="s">
        <v>193</v>
      </c>
      <c r="C9" s="234">
        <v>34657</v>
      </c>
      <c r="D9" s="221"/>
      <c r="E9" s="235">
        <f t="shared" si="2"/>
        <v>34657</v>
      </c>
      <c r="F9" s="234">
        <v>7332</v>
      </c>
      <c r="G9" s="236">
        <v>41989</v>
      </c>
      <c r="H9" s="237">
        <v>15895</v>
      </c>
      <c r="I9" s="221"/>
      <c r="J9" s="235">
        <f t="shared" si="0"/>
        <v>15895</v>
      </c>
      <c r="K9" s="237">
        <v>1790</v>
      </c>
      <c r="L9" s="236">
        <v>17685</v>
      </c>
      <c r="M9" s="237">
        <v>50552</v>
      </c>
      <c r="N9" s="221"/>
      <c r="O9" s="238">
        <f t="shared" si="1"/>
        <v>50552</v>
      </c>
      <c r="P9" s="237">
        <v>9122</v>
      </c>
      <c r="Q9" s="236">
        <v>59674</v>
      </c>
      <c r="R9" s="255">
        <f t="shared" ref="R9:R31" si="3">R8+1</f>
        <v>1993</v>
      </c>
      <c r="T9" s="240">
        <v>2001</v>
      </c>
      <c r="U9" s="241">
        <v>394</v>
      </c>
      <c r="V9" s="241">
        <v>214</v>
      </c>
      <c r="W9" s="241">
        <v>87</v>
      </c>
      <c r="X9" s="242">
        <v>24</v>
      </c>
      <c r="Y9" s="243">
        <v>4419</v>
      </c>
      <c r="Z9" s="241">
        <v>615</v>
      </c>
      <c r="AA9" s="241">
        <v>192</v>
      </c>
      <c r="AB9" s="242">
        <v>22</v>
      </c>
      <c r="AC9" s="243">
        <v>11462</v>
      </c>
      <c r="AD9" s="243">
        <v>2529</v>
      </c>
      <c r="AE9" s="241">
        <v>193</v>
      </c>
      <c r="AF9" s="242">
        <v>35</v>
      </c>
      <c r="AG9" s="243">
        <v>16006</v>
      </c>
      <c r="AH9" s="243">
        <v>3966</v>
      </c>
      <c r="AI9" s="241">
        <v>385</v>
      </c>
      <c r="AJ9" s="242">
        <v>59</v>
      </c>
      <c r="AK9" s="243">
        <v>32281</v>
      </c>
      <c r="AL9" s="244">
        <v>7324</v>
      </c>
      <c r="AM9" s="241">
        <v>857</v>
      </c>
      <c r="AN9" s="242">
        <v>139</v>
      </c>
      <c r="AP9" s="245">
        <v>2001</v>
      </c>
      <c r="AQ9" s="220">
        <v>857</v>
      </c>
      <c r="AR9" s="246">
        <v>139</v>
      </c>
      <c r="AS9" s="247">
        <v>6.0000000000000001E-3</v>
      </c>
      <c r="AT9" s="248">
        <v>1.2E-2</v>
      </c>
      <c r="AU9" s="249">
        <v>0.02</v>
      </c>
      <c r="AV9" s="250">
        <v>0.02</v>
      </c>
      <c r="AX9" s="251">
        <v>2001</v>
      </c>
      <c r="AY9" s="247">
        <v>0.04</v>
      </c>
      <c r="AZ9" s="247">
        <v>0.115</v>
      </c>
      <c r="BA9" s="222" t="s">
        <v>165</v>
      </c>
      <c r="BB9" s="247">
        <v>0.15</v>
      </c>
      <c r="BC9" s="252" t="s">
        <v>165</v>
      </c>
      <c r="BE9" s="245">
        <v>1986</v>
      </c>
      <c r="BF9" s="237">
        <v>5520</v>
      </c>
      <c r="BG9" s="236">
        <v>24830</v>
      </c>
      <c r="BH9" s="223" t="s">
        <v>191</v>
      </c>
      <c r="BI9" s="253" t="s">
        <v>191</v>
      </c>
      <c r="BJ9" s="237">
        <v>56570</v>
      </c>
      <c r="BK9" s="254">
        <v>287508</v>
      </c>
      <c r="BL9" s="223" t="s">
        <v>191</v>
      </c>
      <c r="BM9" s="223" t="s">
        <v>191</v>
      </c>
      <c r="BN9" s="237">
        <v>9984</v>
      </c>
      <c r="BO9" s="236">
        <v>64016</v>
      </c>
      <c r="BP9" s="237">
        <v>304280</v>
      </c>
      <c r="BQ9" s="237">
        <v>72074</v>
      </c>
      <c r="BR9" s="254">
        <v>376353</v>
      </c>
    </row>
    <row r="10" spans="2:70" ht="15.75" x14ac:dyDescent="0.25">
      <c r="B10" s="233" t="s">
        <v>194</v>
      </c>
      <c r="C10" s="234">
        <v>31956</v>
      </c>
      <c r="D10" s="221"/>
      <c r="E10" s="235">
        <f t="shared" si="2"/>
        <v>31956</v>
      </c>
      <c r="F10" s="234">
        <v>5873</v>
      </c>
      <c r="G10" s="236">
        <v>37829</v>
      </c>
      <c r="H10" s="237">
        <v>7178</v>
      </c>
      <c r="I10" s="221"/>
      <c r="J10" s="235">
        <f t="shared" si="0"/>
        <v>7178</v>
      </c>
      <c r="K10" s="237">
        <v>2231</v>
      </c>
      <c r="L10" s="236">
        <v>9409</v>
      </c>
      <c r="M10" s="237">
        <v>39134</v>
      </c>
      <c r="N10" s="221"/>
      <c r="O10" s="238">
        <f t="shared" si="1"/>
        <v>39134</v>
      </c>
      <c r="P10" s="237">
        <v>8104</v>
      </c>
      <c r="Q10" s="236">
        <v>47238</v>
      </c>
      <c r="R10" s="255">
        <f t="shared" si="3"/>
        <v>1994</v>
      </c>
      <c r="T10" s="240">
        <v>2002</v>
      </c>
      <c r="U10" s="241">
        <v>565</v>
      </c>
      <c r="V10" s="241">
        <v>331</v>
      </c>
      <c r="W10" s="241">
        <v>153</v>
      </c>
      <c r="X10" s="242">
        <v>92</v>
      </c>
      <c r="Y10" s="243">
        <v>2971</v>
      </c>
      <c r="Z10" s="241">
        <v>550</v>
      </c>
      <c r="AA10" s="241">
        <v>139</v>
      </c>
      <c r="AB10" s="242">
        <v>54</v>
      </c>
      <c r="AC10" s="243">
        <v>8664</v>
      </c>
      <c r="AD10" s="243">
        <v>3993</v>
      </c>
      <c r="AE10" s="241">
        <v>111</v>
      </c>
      <c r="AF10" s="242">
        <v>107</v>
      </c>
      <c r="AG10" s="243">
        <v>7938</v>
      </c>
      <c r="AH10" s="243">
        <v>4267</v>
      </c>
      <c r="AI10" s="241">
        <v>215</v>
      </c>
      <c r="AJ10" s="242">
        <v>131</v>
      </c>
      <c r="AK10" s="243">
        <v>20137</v>
      </c>
      <c r="AL10" s="244">
        <v>9142</v>
      </c>
      <c r="AM10" s="241">
        <v>618</v>
      </c>
      <c r="AN10" s="242">
        <v>385</v>
      </c>
      <c r="AP10" s="245">
        <v>2002</v>
      </c>
      <c r="AQ10" s="220">
        <v>618</v>
      </c>
      <c r="AR10" s="246">
        <v>385</v>
      </c>
      <c r="AS10" s="247">
        <v>7.0000000000000001E-3</v>
      </c>
      <c r="AT10" s="248">
        <v>1.2E-2</v>
      </c>
      <c r="AU10" s="249">
        <v>0.02</v>
      </c>
      <c r="AV10" s="250">
        <v>0.02</v>
      </c>
      <c r="AX10" s="251">
        <v>2002</v>
      </c>
      <c r="AY10" s="247">
        <v>2.7E-2</v>
      </c>
      <c r="AZ10" s="247">
        <v>3.4000000000000002E-2</v>
      </c>
      <c r="BA10" s="222" t="s">
        <v>165</v>
      </c>
      <c r="BB10" s="247">
        <v>0.15</v>
      </c>
      <c r="BC10" s="252" t="s">
        <v>165</v>
      </c>
      <c r="BE10" s="245">
        <v>1987</v>
      </c>
      <c r="BF10" s="237">
        <v>7380</v>
      </c>
      <c r="BG10" s="236">
        <v>17790</v>
      </c>
      <c r="BH10" s="223" t="s">
        <v>191</v>
      </c>
      <c r="BI10" s="253" t="s">
        <v>191</v>
      </c>
      <c r="BJ10" s="237">
        <v>106690</v>
      </c>
      <c r="BK10" s="254">
        <v>238283</v>
      </c>
      <c r="BL10" s="223" t="s">
        <v>191</v>
      </c>
      <c r="BM10" s="223" t="s">
        <v>191</v>
      </c>
      <c r="BN10" s="237">
        <v>13990</v>
      </c>
      <c r="BO10" s="236">
        <v>44959</v>
      </c>
      <c r="BP10" s="237">
        <v>172972</v>
      </c>
      <c r="BQ10" s="237">
        <v>128060</v>
      </c>
      <c r="BR10" s="254">
        <v>301032</v>
      </c>
    </row>
    <row r="11" spans="2:70" ht="15.75" x14ac:dyDescent="0.25">
      <c r="B11" s="233" t="s">
        <v>195</v>
      </c>
      <c r="C11" s="234">
        <v>62773</v>
      </c>
      <c r="D11" s="221"/>
      <c r="E11" s="235">
        <f t="shared" si="2"/>
        <v>62773</v>
      </c>
      <c r="F11" s="234">
        <v>6721</v>
      </c>
      <c r="G11" s="236">
        <v>69494</v>
      </c>
      <c r="H11" s="237">
        <v>8317</v>
      </c>
      <c r="I11" s="221"/>
      <c r="J11" s="235">
        <f t="shared" si="0"/>
        <v>8317</v>
      </c>
      <c r="K11" s="237">
        <v>1334</v>
      </c>
      <c r="L11" s="236">
        <v>9651</v>
      </c>
      <c r="M11" s="237">
        <v>71090</v>
      </c>
      <c r="N11" s="221"/>
      <c r="O11" s="238">
        <f t="shared" si="1"/>
        <v>71090</v>
      </c>
      <c r="P11" s="237">
        <v>8055</v>
      </c>
      <c r="Q11" s="236">
        <v>79145</v>
      </c>
      <c r="R11" s="255">
        <f t="shared" si="3"/>
        <v>1995</v>
      </c>
      <c r="T11" s="240">
        <v>2003</v>
      </c>
      <c r="U11" s="243">
        <v>1384</v>
      </c>
      <c r="V11" s="241">
        <v>389</v>
      </c>
      <c r="W11" s="241">
        <v>165</v>
      </c>
      <c r="X11" s="242">
        <v>62</v>
      </c>
      <c r="Y11" s="243">
        <v>3943</v>
      </c>
      <c r="Z11" s="241">
        <v>228</v>
      </c>
      <c r="AA11" s="241">
        <v>182</v>
      </c>
      <c r="AB11" s="242">
        <v>19</v>
      </c>
      <c r="AC11" s="243">
        <v>4779</v>
      </c>
      <c r="AD11" s="241">
        <v>533</v>
      </c>
      <c r="AE11" s="241">
        <v>75</v>
      </c>
      <c r="AF11" s="242">
        <v>15</v>
      </c>
      <c r="AG11" s="243">
        <v>11798</v>
      </c>
      <c r="AH11" s="243">
        <v>1520</v>
      </c>
      <c r="AI11" s="241">
        <v>236</v>
      </c>
      <c r="AJ11" s="242">
        <v>34</v>
      </c>
      <c r="AK11" s="243">
        <v>21904</v>
      </c>
      <c r="AL11" s="244">
        <v>2671</v>
      </c>
      <c r="AM11" s="241">
        <v>658</v>
      </c>
      <c r="AN11" s="242">
        <v>130</v>
      </c>
      <c r="AP11" s="245">
        <v>2003</v>
      </c>
      <c r="AQ11" s="220">
        <v>658</v>
      </c>
      <c r="AR11" s="246">
        <v>130</v>
      </c>
      <c r="AS11" s="247">
        <v>0.01</v>
      </c>
      <c r="AT11" s="248">
        <v>0.02</v>
      </c>
      <c r="AU11" s="249">
        <v>0.02</v>
      </c>
      <c r="AV11" s="250">
        <v>0.02</v>
      </c>
      <c r="AX11" s="251">
        <v>2003</v>
      </c>
      <c r="AY11" s="247">
        <v>2.5000000000000001E-2</v>
      </c>
      <c r="AZ11" s="247">
        <v>0.14899999999999999</v>
      </c>
      <c r="BA11" s="222" t="s">
        <v>165</v>
      </c>
      <c r="BB11" s="247">
        <v>0.15</v>
      </c>
      <c r="BC11" s="252" t="s">
        <v>165</v>
      </c>
      <c r="BE11" s="245">
        <v>1988</v>
      </c>
      <c r="BF11" s="237">
        <v>4180</v>
      </c>
      <c r="BG11" s="236">
        <v>22360</v>
      </c>
      <c r="BH11" s="223" t="s">
        <v>191</v>
      </c>
      <c r="BI11" s="253" t="s">
        <v>191</v>
      </c>
      <c r="BJ11" s="237">
        <v>64331</v>
      </c>
      <c r="BK11" s="254">
        <v>173151</v>
      </c>
      <c r="BL11" s="223" t="s">
        <v>191</v>
      </c>
      <c r="BM11" s="223" t="s">
        <v>191</v>
      </c>
      <c r="BN11" s="237">
        <v>17742</v>
      </c>
      <c r="BO11" s="236">
        <v>81643</v>
      </c>
      <c r="BP11" s="237">
        <v>190901</v>
      </c>
      <c r="BQ11" s="237">
        <v>86253</v>
      </c>
      <c r="BR11" s="254">
        <v>277154</v>
      </c>
    </row>
    <row r="12" spans="2:70" ht="15.75" x14ac:dyDescent="0.25">
      <c r="B12" s="233" t="s">
        <v>196</v>
      </c>
      <c r="C12" s="234">
        <v>67075</v>
      </c>
      <c r="D12" s="221"/>
      <c r="E12" s="235">
        <f t="shared" si="2"/>
        <v>67075</v>
      </c>
      <c r="F12" s="234">
        <v>5980</v>
      </c>
      <c r="G12" s="236">
        <v>73055</v>
      </c>
      <c r="H12" s="237">
        <v>12211</v>
      </c>
      <c r="I12" s="221"/>
      <c r="J12" s="235">
        <f t="shared" si="0"/>
        <v>12211</v>
      </c>
      <c r="K12" s="237">
        <v>1645</v>
      </c>
      <c r="L12" s="236">
        <v>13856</v>
      </c>
      <c r="M12" s="237">
        <v>79286</v>
      </c>
      <c r="N12" s="221"/>
      <c r="O12" s="238">
        <f t="shared" si="1"/>
        <v>79286</v>
      </c>
      <c r="P12" s="237">
        <v>7625</v>
      </c>
      <c r="Q12" s="236">
        <v>86911</v>
      </c>
      <c r="R12" s="255">
        <f t="shared" si="3"/>
        <v>1996</v>
      </c>
      <c r="T12" s="240">
        <v>2004</v>
      </c>
      <c r="U12" s="241">
        <v>868</v>
      </c>
      <c r="V12" s="241">
        <v>267</v>
      </c>
      <c r="W12" s="241">
        <v>206</v>
      </c>
      <c r="X12" s="242">
        <v>69</v>
      </c>
      <c r="Y12" s="243">
        <v>2387</v>
      </c>
      <c r="Z12" s="241">
        <v>92</v>
      </c>
      <c r="AA12" s="241">
        <v>95</v>
      </c>
      <c r="AB12" s="242">
        <v>6</v>
      </c>
      <c r="AC12" s="243">
        <v>2947</v>
      </c>
      <c r="AD12" s="241">
        <v>453</v>
      </c>
      <c r="AE12" s="241">
        <v>70</v>
      </c>
      <c r="AF12" s="242">
        <v>18</v>
      </c>
      <c r="AG12" s="243">
        <v>8080</v>
      </c>
      <c r="AH12" s="241">
        <v>923</v>
      </c>
      <c r="AI12" s="241">
        <v>229</v>
      </c>
      <c r="AJ12" s="242">
        <v>29</v>
      </c>
      <c r="AK12" s="243">
        <v>14281</v>
      </c>
      <c r="AL12" s="244">
        <v>1735</v>
      </c>
      <c r="AM12" s="241">
        <v>600</v>
      </c>
      <c r="AN12" s="242">
        <v>122</v>
      </c>
      <c r="AP12" s="245">
        <v>2004</v>
      </c>
      <c r="AQ12" s="220">
        <v>600</v>
      </c>
      <c r="AR12" s="246">
        <v>122</v>
      </c>
      <c r="AS12" s="247">
        <v>0.01</v>
      </c>
      <c r="AT12" s="248">
        <v>1.2999999999999999E-2</v>
      </c>
      <c r="AU12" s="249">
        <v>0.02</v>
      </c>
      <c r="AV12" s="250">
        <v>0.02</v>
      </c>
      <c r="AX12" s="251">
        <v>2004</v>
      </c>
      <c r="AY12" s="247">
        <v>3.2000000000000001E-2</v>
      </c>
      <c r="AZ12" s="247">
        <v>0.111</v>
      </c>
      <c r="BA12" s="222" t="s">
        <v>165</v>
      </c>
      <c r="BB12" s="247">
        <v>0.15</v>
      </c>
      <c r="BC12" s="252" t="s">
        <v>165</v>
      </c>
      <c r="BE12" s="245">
        <v>1989</v>
      </c>
      <c r="BF12" s="237">
        <v>3770</v>
      </c>
      <c r="BG12" s="236">
        <v>15730</v>
      </c>
      <c r="BH12" s="223" t="s">
        <v>191</v>
      </c>
      <c r="BI12" s="253" t="s">
        <v>191</v>
      </c>
      <c r="BJ12" s="237">
        <v>57513</v>
      </c>
      <c r="BK12" s="254">
        <v>193079</v>
      </c>
      <c r="BL12" s="223" t="s">
        <v>191</v>
      </c>
      <c r="BM12" s="223" t="s">
        <v>191</v>
      </c>
      <c r="BN12" s="237">
        <v>12367</v>
      </c>
      <c r="BO12" s="236">
        <v>77604</v>
      </c>
      <c r="BP12" s="237">
        <v>212763</v>
      </c>
      <c r="BQ12" s="237">
        <v>73650</v>
      </c>
      <c r="BR12" s="254">
        <v>286413</v>
      </c>
    </row>
    <row r="13" spans="2:70" ht="15.75" x14ac:dyDescent="0.25">
      <c r="B13" s="233" t="s">
        <v>197</v>
      </c>
      <c r="C13" s="234">
        <v>67019</v>
      </c>
      <c r="D13" s="221"/>
      <c r="E13" s="235">
        <f t="shared" si="2"/>
        <v>67019</v>
      </c>
      <c r="F13" s="234">
        <v>7424</v>
      </c>
      <c r="G13" s="236">
        <v>74443</v>
      </c>
      <c r="H13" s="237">
        <v>10878</v>
      </c>
      <c r="I13" s="221"/>
      <c r="J13" s="235">
        <f t="shared" si="0"/>
        <v>10878</v>
      </c>
      <c r="K13" s="237">
        <v>1325</v>
      </c>
      <c r="L13" s="236">
        <v>12203</v>
      </c>
      <c r="M13" s="237">
        <v>77897</v>
      </c>
      <c r="N13" s="221"/>
      <c r="O13" s="238">
        <f t="shared" si="1"/>
        <v>77897</v>
      </c>
      <c r="P13" s="237">
        <v>8749</v>
      </c>
      <c r="Q13" s="236">
        <v>86646</v>
      </c>
      <c r="R13" s="255">
        <f t="shared" si="3"/>
        <v>1997</v>
      </c>
      <c r="T13" s="240">
        <v>2005</v>
      </c>
      <c r="U13" s="241">
        <v>549</v>
      </c>
      <c r="V13" s="241">
        <v>209</v>
      </c>
      <c r="W13" s="241">
        <v>112</v>
      </c>
      <c r="X13" s="242">
        <v>48</v>
      </c>
      <c r="Y13" s="243">
        <v>2462</v>
      </c>
      <c r="Z13" s="241">
        <v>179</v>
      </c>
      <c r="AA13" s="241">
        <v>102</v>
      </c>
      <c r="AB13" s="242">
        <v>16</v>
      </c>
      <c r="AC13" s="243">
        <v>5142</v>
      </c>
      <c r="AD13" s="243">
        <v>1554</v>
      </c>
      <c r="AE13" s="241">
        <v>88</v>
      </c>
      <c r="AF13" s="242">
        <v>56</v>
      </c>
      <c r="AG13" s="243">
        <v>9188</v>
      </c>
      <c r="AH13" s="243">
        <v>1764</v>
      </c>
      <c r="AI13" s="241">
        <v>209</v>
      </c>
      <c r="AJ13" s="242">
        <v>49</v>
      </c>
      <c r="AK13" s="243">
        <v>17341</v>
      </c>
      <c r="AL13" s="244">
        <v>3706</v>
      </c>
      <c r="AM13" s="241">
        <v>511</v>
      </c>
      <c r="AN13" s="242">
        <v>168</v>
      </c>
      <c r="AP13" s="245">
        <v>2005</v>
      </c>
      <c r="AQ13" s="220">
        <v>511</v>
      </c>
      <c r="AR13" s="246">
        <v>168</v>
      </c>
      <c r="AS13" s="247">
        <v>8.9999999999999993E-3</v>
      </c>
      <c r="AT13" s="248">
        <v>1.7999999999999999E-2</v>
      </c>
      <c r="AU13" s="249">
        <v>0.02</v>
      </c>
      <c r="AV13" s="250">
        <v>0.02</v>
      </c>
      <c r="AX13" s="251">
        <v>2005</v>
      </c>
      <c r="AY13" s="247">
        <v>3.7999999999999999E-2</v>
      </c>
      <c r="AZ13" s="247">
        <v>0.123</v>
      </c>
      <c r="BA13" s="222" t="s">
        <v>165</v>
      </c>
      <c r="BB13" s="247">
        <v>0.15</v>
      </c>
      <c r="BC13" s="252" t="s">
        <v>165</v>
      </c>
      <c r="BE13" s="245">
        <v>1990</v>
      </c>
      <c r="BF13" s="237">
        <v>3690</v>
      </c>
      <c r="BG13" s="236">
        <v>18710</v>
      </c>
      <c r="BH13" s="223" t="s">
        <v>191</v>
      </c>
      <c r="BI13" s="253" t="s">
        <v>191</v>
      </c>
      <c r="BJ13" s="237">
        <v>27102</v>
      </c>
      <c r="BK13" s="254">
        <v>115628</v>
      </c>
      <c r="BL13" s="223" t="s">
        <v>191</v>
      </c>
      <c r="BM13" s="223" t="s">
        <v>191</v>
      </c>
      <c r="BN13" s="237">
        <v>8811</v>
      </c>
      <c r="BO13" s="236">
        <v>47174</v>
      </c>
      <c r="BP13" s="237">
        <v>141909</v>
      </c>
      <c r="BQ13" s="237">
        <v>39603</v>
      </c>
      <c r="BR13" s="254">
        <v>181512</v>
      </c>
    </row>
    <row r="14" spans="2:70" ht="15.75" x14ac:dyDescent="0.25">
      <c r="B14" s="233" t="s">
        <v>198</v>
      </c>
      <c r="C14" s="234">
        <v>43832</v>
      </c>
      <c r="D14" s="221"/>
      <c r="E14" s="235">
        <f t="shared" si="2"/>
        <v>43832</v>
      </c>
      <c r="F14" s="234">
        <v>7074</v>
      </c>
      <c r="G14" s="236">
        <v>50906</v>
      </c>
      <c r="H14" s="237">
        <v>17455</v>
      </c>
      <c r="I14" s="221"/>
      <c r="J14" s="235">
        <f t="shared" si="0"/>
        <v>17455</v>
      </c>
      <c r="K14" s="237">
        <v>2301</v>
      </c>
      <c r="L14" s="236">
        <v>19756</v>
      </c>
      <c r="M14" s="237">
        <v>61287</v>
      </c>
      <c r="N14" s="221"/>
      <c r="O14" s="238">
        <f t="shared" si="1"/>
        <v>61287</v>
      </c>
      <c r="P14" s="237">
        <v>9375</v>
      </c>
      <c r="Q14" s="236">
        <v>70662</v>
      </c>
      <c r="R14" s="255">
        <f t="shared" si="3"/>
        <v>1998</v>
      </c>
      <c r="T14" s="240">
        <v>2006</v>
      </c>
      <c r="U14" s="241">
        <v>423</v>
      </c>
      <c r="V14" s="241">
        <v>241</v>
      </c>
      <c r="W14" s="241">
        <v>120</v>
      </c>
      <c r="X14" s="242">
        <v>26</v>
      </c>
      <c r="Y14" s="243">
        <v>3610</v>
      </c>
      <c r="Z14" s="241">
        <v>638</v>
      </c>
      <c r="AA14" s="241">
        <v>157</v>
      </c>
      <c r="AB14" s="242">
        <v>15</v>
      </c>
      <c r="AC14" s="243">
        <v>5367</v>
      </c>
      <c r="AD14" s="243">
        <v>2326</v>
      </c>
      <c r="AE14" s="241">
        <v>127</v>
      </c>
      <c r="AF14" s="242">
        <v>51</v>
      </c>
      <c r="AG14" s="243">
        <v>8925</v>
      </c>
      <c r="AH14" s="243">
        <v>3613</v>
      </c>
      <c r="AI14" s="241">
        <v>301</v>
      </c>
      <c r="AJ14" s="242">
        <v>44</v>
      </c>
      <c r="AK14" s="243">
        <v>18325</v>
      </c>
      <c r="AL14" s="244">
        <v>6819</v>
      </c>
      <c r="AM14" s="241">
        <v>704</v>
      </c>
      <c r="AN14" s="242">
        <v>137</v>
      </c>
      <c r="AP14" s="245">
        <v>2006</v>
      </c>
      <c r="AQ14" s="220">
        <v>704</v>
      </c>
      <c r="AR14" s="246">
        <v>137</v>
      </c>
      <c r="AS14" s="247">
        <v>1.0999999999999999E-2</v>
      </c>
      <c r="AT14" s="248">
        <v>1.6E-2</v>
      </c>
      <c r="AU14" s="249">
        <v>0.02</v>
      </c>
      <c r="AV14" s="250">
        <v>0.02</v>
      </c>
      <c r="AX14" s="251">
        <v>2006</v>
      </c>
      <c r="AY14" s="247">
        <v>5.1999999999999998E-2</v>
      </c>
      <c r="AZ14" s="247">
        <v>0.16</v>
      </c>
      <c r="BA14" s="222" t="s">
        <v>165</v>
      </c>
      <c r="BB14" s="247">
        <v>0.15</v>
      </c>
      <c r="BC14" s="252" t="s">
        <v>165</v>
      </c>
      <c r="BE14" s="245">
        <v>1991</v>
      </c>
      <c r="BF14" s="237">
        <v>1220</v>
      </c>
      <c r="BG14" s="236">
        <v>10880</v>
      </c>
      <c r="BH14" s="223" t="s">
        <v>191</v>
      </c>
      <c r="BI14" s="253" t="s">
        <v>191</v>
      </c>
      <c r="BJ14" s="237">
        <v>60264</v>
      </c>
      <c r="BK14" s="254">
        <v>234048</v>
      </c>
      <c r="BL14" s="223" t="s">
        <v>191</v>
      </c>
      <c r="BM14" s="223" t="s">
        <v>191</v>
      </c>
      <c r="BN14" s="237">
        <v>6207</v>
      </c>
      <c r="BO14" s="236">
        <v>28265</v>
      </c>
      <c r="BP14" s="237">
        <v>205502</v>
      </c>
      <c r="BQ14" s="237">
        <v>67692</v>
      </c>
      <c r="BR14" s="254">
        <v>273193</v>
      </c>
    </row>
    <row r="15" spans="2:70" ht="15.75" x14ac:dyDescent="0.25">
      <c r="B15" s="233" t="s">
        <v>199</v>
      </c>
      <c r="C15" s="234">
        <v>54119</v>
      </c>
      <c r="D15" s="221"/>
      <c r="E15" s="235">
        <f t="shared" si="2"/>
        <v>54119</v>
      </c>
      <c r="F15" s="234">
        <v>10184</v>
      </c>
      <c r="G15" s="236">
        <v>64303</v>
      </c>
      <c r="H15" s="237">
        <v>8834</v>
      </c>
      <c r="I15" s="221"/>
      <c r="J15" s="235">
        <f t="shared" si="0"/>
        <v>8834</v>
      </c>
      <c r="K15" s="223">
        <v>914</v>
      </c>
      <c r="L15" s="236">
        <v>9748</v>
      </c>
      <c r="M15" s="237">
        <v>62953</v>
      </c>
      <c r="N15" s="221"/>
      <c r="O15" s="238">
        <f t="shared" si="1"/>
        <v>62953</v>
      </c>
      <c r="P15" s="237">
        <v>11098</v>
      </c>
      <c r="Q15" s="236">
        <v>74051</v>
      </c>
      <c r="R15" s="255">
        <f t="shared" si="3"/>
        <v>1999</v>
      </c>
      <c r="T15" s="240">
        <v>2007</v>
      </c>
      <c r="U15" s="241">
        <v>182</v>
      </c>
      <c r="V15" s="241">
        <v>145</v>
      </c>
      <c r="W15" s="241">
        <v>54</v>
      </c>
      <c r="X15" s="242">
        <v>24</v>
      </c>
      <c r="Y15" s="243">
        <v>4293</v>
      </c>
      <c r="Z15" s="241">
        <v>453</v>
      </c>
      <c r="AA15" s="241">
        <v>158</v>
      </c>
      <c r="AB15" s="242">
        <v>12</v>
      </c>
      <c r="AC15" s="243">
        <v>8250</v>
      </c>
      <c r="AD15" s="243">
        <v>4661</v>
      </c>
      <c r="AE15" s="241">
        <v>201</v>
      </c>
      <c r="AF15" s="242">
        <v>182</v>
      </c>
      <c r="AG15" s="243">
        <v>11221</v>
      </c>
      <c r="AH15" s="243">
        <v>3950</v>
      </c>
      <c r="AI15" s="241">
        <v>454</v>
      </c>
      <c r="AJ15" s="242">
        <v>77</v>
      </c>
      <c r="AK15" s="243">
        <v>23946</v>
      </c>
      <c r="AL15" s="244">
        <v>9209</v>
      </c>
      <c r="AM15" s="241">
        <v>867</v>
      </c>
      <c r="AN15" s="242">
        <v>294</v>
      </c>
      <c r="AP15" s="245">
        <v>2007</v>
      </c>
      <c r="AQ15" s="220">
        <v>867</v>
      </c>
      <c r="AR15" s="246">
        <v>294</v>
      </c>
      <c r="AS15" s="247">
        <v>1.0999999999999999E-2</v>
      </c>
      <c r="AT15" s="248">
        <v>3.3000000000000002E-2</v>
      </c>
      <c r="AU15" s="249">
        <v>0.02</v>
      </c>
      <c r="AV15" s="250">
        <v>0.02</v>
      </c>
      <c r="AX15" s="251">
        <v>2007</v>
      </c>
      <c r="AY15" s="247">
        <v>3.5999999999999997E-2</v>
      </c>
      <c r="AZ15" s="256">
        <v>0.11600000000000001</v>
      </c>
      <c r="BA15" s="222" t="s">
        <v>165</v>
      </c>
      <c r="BB15" s="247">
        <v>0.15</v>
      </c>
      <c r="BC15" s="252" t="s">
        <v>165</v>
      </c>
      <c r="BE15" s="245">
        <v>1992</v>
      </c>
      <c r="BF15" s="237">
        <v>2940</v>
      </c>
      <c r="BG15" s="236">
        <v>14910</v>
      </c>
      <c r="BH15" s="223" t="s">
        <v>191</v>
      </c>
      <c r="BI15" s="253" t="s">
        <v>191</v>
      </c>
      <c r="BJ15" s="237">
        <v>44294</v>
      </c>
      <c r="BK15" s="254">
        <v>241524</v>
      </c>
      <c r="BL15" s="223" t="s">
        <v>191</v>
      </c>
      <c r="BM15" s="223" t="s">
        <v>191</v>
      </c>
      <c r="BN15" s="237">
        <v>12715</v>
      </c>
      <c r="BO15" s="236">
        <v>57438</v>
      </c>
      <c r="BP15" s="237">
        <v>253923</v>
      </c>
      <c r="BQ15" s="237">
        <v>59948</v>
      </c>
      <c r="BR15" s="254">
        <v>313872</v>
      </c>
    </row>
    <row r="16" spans="2:70" ht="15.75" x14ac:dyDescent="0.25">
      <c r="B16" s="233" t="s">
        <v>200</v>
      </c>
      <c r="C16" s="234">
        <v>79599</v>
      </c>
      <c r="D16" s="221"/>
      <c r="E16" s="235">
        <f t="shared" si="2"/>
        <v>79599</v>
      </c>
      <c r="F16" s="234">
        <v>17689</v>
      </c>
      <c r="G16" s="236">
        <v>97288</v>
      </c>
      <c r="H16" s="237">
        <v>17128</v>
      </c>
      <c r="I16" s="221"/>
      <c r="J16" s="235">
        <f t="shared" si="0"/>
        <v>17128</v>
      </c>
      <c r="K16" s="237">
        <v>2886</v>
      </c>
      <c r="L16" s="236">
        <v>20014</v>
      </c>
      <c r="M16" s="237">
        <v>96727</v>
      </c>
      <c r="N16" s="221"/>
      <c r="O16" s="238">
        <f t="shared" si="1"/>
        <v>96727</v>
      </c>
      <c r="P16" s="237">
        <v>20575</v>
      </c>
      <c r="Q16" s="236">
        <v>117302</v>
      </c>
      <c r="R16" s="255">
        <f t="shared" si="3"/>
        <v>2000</v>
      </c>
      <c r="T16" s="240">
        <v>2008</v>
      </c>
      <c r="U16" s="241">
        <v>386</v>
      </c>
      <c r="V16" s="241">
        <v>270</v>
      </c>
      <c r="W16" s="241">
        <v>141</v>
      </c>
      <c r="X16" s="242">
        <v>63</v>
      </c>
      <c r="Y16" s="243">
        <v>2026</v>
      </c>
      <c r="Z16" s="241">
        <v>562</v>
      </c>
      <c r="AA16" s="241">
        <v>99</v>
      </c>
      <c r="AB16" s="242">
        <v>22</v>
      </c>
      <c r="AC16" s="243">
        <v>4169</v>
      </c>
      <c r="AD16" s="243">
        <v>2432</v>
      </c>
      <c r="AE16" s="241">
        <v>137</v>
      </c>
      <c r="AF16" s="242">
        <v>87</v>
      </c>
      <c r="AG16" s="243">
        <v>3864</v>
      </c>
      <c r="AH16" s="243">
        <v>2430</v>
      </c>
      <c r="AI16" s="241">
        <v>141</v>
      </c>
      <c r="AJ16" s="242">
        <v>58</v>
      </c>
      <c r="AK16" s="243">
        <v>10445</v>
      </c>
      <c r="AL16" s="244">
        <v>5695</v>
      </c>
      <c r="AM16" s="241">
        <v>519</v>
      </c>
      <c r="AN16" s="242">
        <v>229</v>
      </c>
      <c r="AP16" s="245">
        <v>2008</v>
      </c>
      <c r="AQ16" s="220">
        <v>519</v>
      </c>
      <c r="AR16" s="246">
        <v>229</v>
      </c>
      <c r="AS16" s="247">
        <v>6.0000000000000001E-3</v>
      </c>
      <c r="AT16" s="248">
        <v>1.2E-2</v>
      </c>
      <c r="AU16" s="249">
        <v>0.02</v>
      </c>
      <c r="AV16" s="250">
        <v>0.02</v>
      </c>
      <c r="AX16" s="251">
        <v>2008</v>
      </c>
      <c r="AY16" s="247">
        <v>4.4999999999999998E-2</v>
      </c>
      <c r="AZ16" s="247">
        <v>0.14399999999999999</v>
      </c>
      <c r="BA16" s="248">
        <v>0.152</v>
      </c>
      <c r="BB16" s="257" t="s">
        <v>201</v>
      </c>
      <c r="BC16" s="258">
        <v>0.15</v>
      </c>
      <c r="BE16" s="245">
        <v>1993</v>
      </c>
      <c r="BF16" s="237">
        <v>1250</v>
      </c>
      <c r="BG16" s="236">
        <v>14360</v>
      </c>
      <c r="BH16" s="223" t="s">
        <v>191</v>
      </c>
      <c r="BI16" s="253" t="s">
        <v>191</v>
      </c>
      <c r="BJ16" s="237">
        <v>28650</v>
      </c>
      <c r="BK16" s="254">
        <v>136701</v>
      </c>
      <c r="BL16" s="223" t="s">
        <v>191</v>
      </c>
      <c r="BM16" s="223" t="s">
        <v>191</v>
      </c>
      <c r="BN16" s="237">
        <v>4378</v>
      </c>
      <c r="BO16" s="236">
        <v>36169</v>
      </c>
      <c r="BP16" s="237">
        <v>152952</v>
      </c>
      <c r="BQ16" s="237">
        <v>34278</v>
      </c>
      <c r="BR16" s="254">
        <v>187230</v>
      </c>
    </row>
    <row r="17" spans="2:70" ht="15.75" x14ac:dyDescent="0.25">
      <c r="B17" s="233" t="s">
        <v>202</v>
      </c>
      <c r="C17" s="234">
        <v>197070</v>
      </c>
      <c r="D17" s="221"/>
      <c r="E17" s="235">
        <f t="shared" si="2"/>
        <v>197070</v>
      </c>
      <c r="F17" s="234">
        <v>37545</v>
      </c>
      <c r="G17" s="236">
        <v>234615</v>
      </c>
      <c r="H17" s="237">
        <v>30677</v>
      </c>
      <c r="I17" s="221"/>
      <c r="J17" s="235">
        <f t="shared" si="0"/>
        <v>30677</v>
      </c>
      <c r="K17" s="237">
        <v>3174</v>
      </c>
      <c r="L17" s="236">
        <v>33851</v>
      </c>
      <c r="M17" s="237">
        <v>227747</v>
      </c>
      <c r="N17" s="221"/>
      <c r="O17" s="238">
        <f t="shared" si="1"/>
        <v>227747</v>
      </c>
      <c r="P17" s="237">
        <v>40719</v>
      </c>
      <c r="Q17" s="236">
        <v>268466</v>
      </c>
      <c r="R17" s="255">
        <f t="shared" si="3"/>
        <v>2001</v>
      </c>
      <c r="T17" s="240">
        <v>2009</v>
      </c>
      <c r="U17" s="241">
        <v>740</v>
      </c>
      <c r="V17" s="241">
        <v>68</v>
      </c>
      <c r="W17" s="241">
        <v>239</v>
      </c>
      <c r="X17" s="242">
        <v>29</v>
      </c>
      <c r="Y17" s="243">
        <v>7049</v>
      </c>
      <c r="Z17" s="241">
        <v>276</v>
      </c>
      <c r="AA17" s="241">
        <v>412</v>
      </c>
      <c r="AB17" s="242">
        <v>26</v>
      </c>
      <c r="AC17" s="243">
        <v>8607</v>
      </c>
      <c r="AD17" s="243">
        <v>2936</v>
      </c>
      <c r="AE17" s="241">
        <v>286</v>
      </c>
      <c r="AF17" s="242">
        <v>152</v>
      </c>
      <c r="AG17" s="243">
        <v>19653</v>
      </c>
      <c r="AH17" s="243">
        <v>3040</v>
      </c>
      <c r="AI17" s="241">
        <v>600</v>
      </c>
      <c r="AJ17" s="242">
        <v>126</v>
      </c>
      <c r="AK17" s="243">
        <v>36050</v>
      </c>
      <c r="AL17" s="244">
        <v>6320</v>
      </c>
      <c r="AM17" s="243">
        <v>1537</v>
      </c>
      <c r="AN17" s="242">
        <v>334</v>
      </c>
      <c r="AP17" s="245">
        <v>2009</v>
      </c>
      <c r="AQ17" s="234">
        <v>1537</v>
      </c>
      <c r="AR17" s="246">
        <v>334</v>
      </c>
      <c r="AS17" s="247">
        <v>0.01</v>
      </c>
      <c r="AT17" s="248">
        <v>2.4E-2</v>
      </c>
      <c r="AU17" s="249">
        <v>0.02</v>
      </c>
      <c r="AV17" s="250">
        <v>0.02</v>
      </c>
      <c r="AX17" s="251">
        <v>2009</v>
      </c>
      <c r="AY17" s="247">
        <v>5.1999999999999998E-2</v>
      </c>
      <c r="AZ17" s="247">
        <v>0.154</v>
      </c>
      <c r="BA17" s="248">
        <v>0.16800000000000001</v>
      </c>
      <c r="BB17" s="257" t="s">
        <v>201</v>
      </c>
      <c r="BC17" s="258">
        <v>0.2</v>
      </c>
      <c r="BE17" s="245">
        <v>1994</v>
      </c>
      <c r="BF17" s="237">
        <v>1380</v>
      </c>
      <c r="BG17" s="236">
        <v>12330</v>
      </c>
      <c r="BH17" s="223" t="s">
        <v>191</v>
      </c>
      <c r="BI17" s="253" t="s">
        <v>191</v>
      </c>
      <c r="BJ17" s="237">
        <v>21212</v>
      </c>
      <c r="BK17" s="254">
        <v>120971</v>
      </c>
      <c r="BL17" s="223" t="s">
        <v>191</v>
      </c>
      <c r="BM17" s="223" t="s">
        <v>191</v>
      </c>
      <c r="BN17" s="237">
        <v>5152</v>
      </c>
      <c r="BO17" s="236">
        <v>27463</v>
      </c>
      <c r="BP17" s="237">
        <v>133020</v>
      </c>
      <c r="BQ17" s="237">
        <v>27744</v>
      </c>
      <c r="BR17" s="254">
        <v>160764</v>
      </c>
    </row>
    <row r="18" spans="2:70" ht="15.75" x14ac:dyDescent="0.25">
      <c r="B18" s="233" t="s">
        <v>203</v>
      </c>
      <c r="C18" s="234">
        <v>122269</v>
      </c>
      <c r="D18" s="221"/>
      <c r="E18" s="235">
        <f t="shared" si="2"/>
        <v>122269</v>
      </c>
      <c r="F18" s="234">
        <v>28308</v>
      </c>
      <c r="G18" s="236">
        <v>150577</v>
      </c>
      <c r="H18" s="237">
        <v>57976</v>
      </c>
      <c r="I18" s="221"/>
      <c r="J18" s="235">
        <f t="shared" si="0"/>
        <v>57976</v>
      </c>
      <c r="K18" s="237">
        <v>13623</v>
      </c>
      <c r="L18" s="236">
        <v>71599</v>
      </c>
      <c r="M18" s="237">
        <v>180245</v>
      </c>
      <c r="N18" s="221"/>
      <c r="O18" s="238">
        <f t="shared" si="1"/>
        <v>180245</v>
      </c>
      <c r="P18" s="237">
        <v>41931</v>
      </c>
      <c r="Q18" s="236">
        <v>222176</v>
      </c>
      <c r="R18" s="255">
        <f t="shared" si="3"/>
        <v>2002</v>
      </c>
      <c r="T18" s="240">
        <v>2010</v>
      </c>
      <c r="U18" s="241">
        <v>460</v>
      </c>
      <c r="V18" s="241">
        <v>210</v>
      </c>
      <c r="W18" s="241">
        <v>210</v>
      </c>
      <c r="X18" s="242">
        <v>77</v>
      </c>
      <c r="Y18" s="243">
        <v>5090</v>
      </c>
      <c r="Z18" s="241">
        <v>954</v>
      </c>
      <c r="AA18" s="241">
        <v>276</v>
      </c>
      <c r="AB18" s="242">
        <v>64</v>
      </c>
      <c r="AC18" s="243">
        <v>4075</v>
      </c>
      <c r="AD18" s="243">
        <v>2355</v>
      </c>
      <c r="AE18" s="241">
        <v>135</v>
      </c>
      <c r="AF18" s="242">
        <v>138</v>
      </c>
      <c r="AG18" s="243">
        <v>6907</v>
      </c>
      <c r="AH18" s="243">
        <v>2881</v>
      </c>
      <c r="AI18" s="241">
        <v>314</v>
      </c>
      <c r="AJ18" s="242">
        <v>114</v>
      </c>
      <c r="AK18" s="243">
        <v>16532</v>
      </c>
      <c r="AL18" s="244">
        <v>6401</v>
      </c>
      <c r="AM18" s="241">
        <v>935</v>
      </c>
      <c r="AN18" s="242">
        <v>392</v>
      </c>
      <c r="AP18" s="245">
        <v>2010</v>
      </c>
      <c r="AQ18" s="220">
        <v>935</v>
      </c>
      <c r="AR18" s="246">
        <v>392</v>
      </c>
      <c r="AS18" s="247">
        <v>8.0000000000000002E-3</v>
      </c>
      <c r="AT18" s="248">
        <v>1.7999999999999999E-2</v>
      </c>
      <c r="AU18" s="249">
        <v>0.02</v>
      </c>
      <c r="AV18" s="250">
        <v>0.02</v>
      </c>
      <c r="AX18" s="251">
        <v>2010</v>
      </c>
      <c r="AY18" s="247">
        <v>0.04</v>
      </c>
      <c r="AZ18" s="247">
        <v>0.13400000000000001</v>
      </c>
      <c r="BA18" s="248">
        <v>0.157</v>
      </c>
      <c r="BB18" s="257" t="s">
        <v>201</v>
      </c>
      <c r="BC18" s="258">
        <v>0.2</v>
      </c>
      <c r="BE18" s="245">
        <v>1995</v>
      </c>
      <c r="BF18" s="237">
        <v>1150</v>
      </c>
      <c r="BG18" s="236">
        <v>8220</v>
      </c>
      <c r="BH18" s="223" t="s">
        <v>191</v>
      </c>
      <c r="BI18" s="253" t="s">
        <v>191</v>
      </c>
      <c r="BJ18" s="237">
        <v>25997</v>
      </c>
      <c r="BK18" s="254">
        <v>180037</v>
      </c>
      <c r="BL18" s="223" t="s">
        <v>191</v>
      </c>
      <c r="BM18" s="223" t="s">
        <v>191</v>
      </c>
      <c r="BN18" s="237">
        <v>1847</v>
      </c>
      <c r="BO18" s="236">
        <v>13221</v>
      </c>
      <c r="BP18" s="237">
        <v>172484</v>
      </c>
      <c r="BQ18" s="237">
        <v>28994</v>
      </c>
      <c r="BR18" s="254">
        <v>201478</v>
      </c>
    </row>
    <row r="19" spans="2:70" ht="15.75" x14ac:dyDescent="0.25">
      <c r="B19" s="233" t="s">
        <v>204</v>
      </c>
      <c r="C19" s="234">
        <v>118174</v>
      </c>
      <c r="D19" s="221"/>
      <c r="E19" s="235">
        <f t="shared" si="2"/>
        <v>118174</v>
      </c>
      <c r="F19" s="234">
        <v>21892</v>
      </c>
      <c r="G19" s="236">
        <v>140066</v>
      </c>
      <c r="H19" s="237">
        <v>25190</v>
      </c>
      <c r="I19" s="221"/>
      <c r="J19" s="235">
        <f t="shared" si="0"/>
        <v>25190</v>
      </c>
      <c r="K19" s="237">
        <v>7254</v>
      </c>
      <c r="L19" s="236">
        <v>32444</v>
      </c>
      <c r="M19" s="237">
        <v>143364</v>
      </c>
      <c r="N19" s="221"/>
      <c r="O19" s="238">
        <f t="shared" si="1"/>
        <v>143364</v>
      </c>
      <c r="P19" s="237">
        <v>29146</v>
      </c>
      <c r="Q19" s="236">
        <v>172510</v>
      </c>
      <c r="R19" s="255">
        <f t="shared" si="3"/>
        <v>2003</v>
      </c>
      <c r="T19" s="240">
        <v>2011</v>
      </c>
      <c r="U19" s="241">
        <v>921</v>
      </c>
      <c r="V19" s="241">
        <v>236</v>
      </c>
      <c r="W19" s="241">
        <v>292</v>
      </c>
      <c r="X19" s="242">
        <v>31</v>
      </c>
      <c r="Y19" s="243">
        <v>11191</v>
      </c>
      <c r="Z19" s="241">
        <v>862</v>
      </c>
      <c r="AA19" s="241">
        <v>731</v>
      </c>
      <c r="AB19" s="242">
        <v>42</v>
      </c>
      <c r="AC19" s="243">
        <v>7015</v>
      </c>
      <c r="AD19" s="243">
        <v>1377</v>
      </c>
      <c r="AE19" s="241">
        <v>286</v>
      </c>
      <c r="AF19" s="242">
        <v>59</v>
      </c>
      <c r="AG19" s="243">
        <v>7178</v>
      </c>
      <c r="AH19" s="243">
        <v>1529</v>
      </c>
      <c r="AI19" s="241">
        <v>302</v>
      </c>
      <c r="AJ19" s="242">
        <v>37</v>
      </c>
      <c r="AK19" s="243">
        <v>26305</v>
      </c>
      <c r="AL19" s="244">
        <v>4004</v>
      </c>
      <c r="AM19" s="243">
        <v>1610</v>
      </c>
      <c r="AN19" s="242">
        <v>170</v>
      </c>
      <c r="AP19" s="245">
        <v>2011</v>
      </c>
      <c r="AQ19" s="234">
        <v>1610</v>
      </c>
      <c r="AR19" s="246">
        <v>170</v>
      </c>
      <c r="AS19" s="247">
        <v>1.6E-2</v>
      </c>
      <c r="AT19" s="248">
        <v>2.1999999999999999E-2</v>
      </c>
      <c r="AU19" s="249">
        <v>0.02</v>
      </c>
      <c r="AV19" s="250">
        <v>0.02</v>
      </c>
      <c r="AX19" s="251">
        <v>2011</v>
      </c>
      <c r="AY19" s="247">
        <v>7.1999999999999995E-2</v>
      </c>
      <c r="AZ19" s="247">
        <v>0.31</v>
      </c>
      <c r="BA19" s="248">
        <v>0.21099999999999999</v>
      </c>
      <c r="BB19" s="257" t="s">
        <v>201</v>
      </c>
      <c r="BC19" s="258">
        <v>0.2</v>
      </c>
      <c r="BE19" s="245">
        <v>1996</v>
      </c>
      <c r="BF19" s="237">
        <v>1310</v>
      </c>
      <c r="BG19" s="236">
        <v>10830</v>
      </c>
      <c r="BH19" s="223" t="s">
        <v>191</v>
      </c>
      <c r="BI19" s="253" t="s">
        <v>191</v>
      </c>
      <c r="BJ19" s="237">
        <v>25721</v>
      </c>
      <c r="BK19" s="254">
        <v>174464</v>
      </c>
      <c r="BL19" s="223" t="s">
        <v>191</v>
      </c>
      <c r="BM19" s="223" t="s">
        <v>191</v>
      </c>
      <c r="BN19" s="237">
        <v>3912</v>
      </c>
      <c r="BO19" s="236">
        <v>18693</v>
      </c>
      <c r="BP19" s="237">
        <v>173044</v>
      </c>
      <c r="BQ19" s="237">
        <v>30943</v>
      </c>
      <c r="BR19" s="254">
        <v>203987</v>
      </c>
    </row>
    <row r="20" spans="2:70" ht="15.75" x14ac:dyDescent="0.25">
      <c r="B20" s="233" t="s">
        <v>205</v>
      </c>
      <c r="C20" s="234">
        <v>103391</v>
      </c>
      <c r="D20" s="221"/>
      <c r="E20" s="235">
        <f t="shared" si="2"/>
        <v>103391</v>
      </c>
      <c r="F20" s="234">
        <v>18297</v>
      </c>
      <c r="G20" s="236">
        <v>121688</v>
      </c>
      <c r="H20" s="237">
        <v>25184</v>
      </c>
      <c r="I20" s="221"/>
      <c r="J20" s="235">
        <f t="shared" si="0"/>
        <v>25184</v>
      </c>
      <c r="K20" s="237">
        <v>4774</v>
      </c>
      <c r="L20" s="236">
        <v>29958</v>
      </c>
      <c r="M20" s="237">
        <v>128575</v>
      </c>
      <c r="N20" s="221"/>
      <c r="O20" s="238">
        <f t="shared" si="1"/>
        <v>128575</v>
      </c>
      <c r="P20" s="237">
        <v>23071</v>
      </c>
      <c r="Q20" s="236">
        <v>151646</v>
      </c>
      <c r="R20" s="255">
        <f t="shared" si="3"/>
        <v>2004</v>
      </c>
      <c r="T20" s="240">
        <v>2012</v>
      </c>
      <c r="U20" s="241">
        <v>418</v>
      </c>
      <c r="V20" s="241">
        <v>65</v>
      </c>
      <c r="W20" s="241">
        <v>142</v>
      </c>
      <c r="X20" s="242">
        <v>20</v>
      </c>
      <c r="Y20" s="243">
        <v>5126</v>
      </c>
      <c r="Z20" s="241">
        <v>492</v>
      </c>
      <c r="AA20" s="241">
        <v>308</v>
      </c>
      <c r="AB20" s="242">
        <v>39</v>
      </c>
      <c r="AC20" s="243">
        <v>5774</v>
      </c>
      <c r="AD20" s="243">
        <v>2482</v>
      </c>
      <c r="AE20" s="241">
        <v>185</v>
      </c>
      <c r="AF20" s="242">
        <v>88</v>
      </c>
      <c r="AG20" s="243">
        <v>4442</v>
      </c>
      <c r="AH20" s="243">
        <v>1060</v>
      </c>
      <c r="AI20" s="241">
        <v>139</v>
      </c>
      <c r="AJ20" s="242">
        <v>24</v>
      </c>
      <c r="AK20" s="243">
        <v>15759</v>
      </c>
      <c r="AL20" s="244">
        <v>4100</v>
      </c>
      <c r="AM20" s="241">
        <v>773</v>
      </c>
      <c r="AN20" s="242">
        <v>170</v>
      </c>
      <c r="AP20" s="245">
        <v>2012</v>
      </c>
      <c r="AQ20" s="220">
        <v>773</v>
      </c>
      <c r="AR20" s="246">
        <v>170</v>
      </c>
      <c r="AS20" s="247">
        <v>1.4E-2</v>
      </c>
      <c r="AT20" s="248">
        <v>2.5000000000000001E-2</v>
      </c>
      <c r="AU20" s="249">
        <v>0.02</v>
      </c>
      <c r="AV20" s="250">
        <v>0.02</v>
      </c>
      <c r="AX20" s="251">
        <v>2012</v>
      </c>
      <c r="AY20" s="247">
        <v>7.5999999999999998E-2</v>
      </c>
      <c r="AZ20" s="247">
        <v>0.186</v>
      </c>
      <c r="BA20" s="248">
        <v>0.13500000000000001</v>
      </c>
      <c r="BB20" s="257" t="s">
        <v>201</v>
      </c>
      <c r="BC20" s="258">
        <v>0.15</v>
      </c>
      <c r="BE20" s="245">
        <v>1997</v>
      </c>
      <c r="BF20" s="223">
        <v>930</v>
      </c>
      <c r="BG20" s="236">
        <v>11890</v>
      </c>
      <c r="BH20" s="223" t="s">
        <v>191</v>
      </c>
      <c r="BI20" s="253" t="s">
        <v>191</v>
      </c>
      <c r="BJ20" s="237">
        <v>30852</v>
      </c>
      <c r="BK20" s="254">
        <v>208209</v>
      </c>
      <c r="BL20" s="223" t="s">
        <v>191</v>
      </c>
      <c r="BM20" s="223" t="s">
        <v>191</v>
      </c>
      <c r="BN20" s="237">
        <v>3913</v>
      </c>
      <c r="BO20" s="236">
        <v>36663</v>
      </c>
      <c r="BP20" s="237">
        <v>221067</v>
      </c>
      <c r="BQ20" s="237">
        <v>35695</v>
      </c>
      <c r="BR20" s="254">
        <v>256762</v>
      </c>
    </row>
    <row r="21" spans="2:70" ht="15.75" x14ac:dyDescent="0.25">
      <c r="B21" s="233" t="s">
        <v>206</v>
      </c>
      <c r="C21" s="234">
        <v>110547</v>
      </c>
      <c r="D21" s="221"/>
      <c r="E21" s="235">
        <f t="shared" si="2"/>
        <v>110547</v>
      </c>
      <c r="F21" s="234">
        <v>14586</v>
      </c>
      <c r="G21" s="236">
        <v>125133</v>
      </c>
      <c r="H21" s="237">
        <v>29488</v>
      </c>
      <c r="I21" s="221"/>
      <c r="J21" s="235">
        <f t="shared" si="0"/>
        <v>29488</v>
      </c>
      <c r="K21" s="237">
        <v>3544</v>
      </c>
      <c r="L21" s="236">
        <v>33032</v>
      </c>
      <c r="M21" s="237">
        <v>140035</v>
      </c>
      <c r="N21" s="221"/>
      <c r="O21" s="238">
        <f t="shared" si="1"/>
        <v>140035</v>
      </c>
      <c r="P21" s="237">
        <v>18130</v>
      </c>
      <c r="Q21" s="236">
        <v>158165</v>
      </c>
      <c r="R21" s="255">
        <f t="shared" si="3"/>
        <v>2005</v>
      </c>
      <c r="T21" s="240">
        <v>2013</v>
      </c>
      <c r="U21" s="241">
        <v>356</v>
      </c>
      <c r="V21" s="241">
        <v>34</v>
      </c>
      <c r="W21" s="241">
        <v>208</v>
      </c>
      <c r="X21" s="242">
        <v>11</v>
      </c>
      <c r="Y21" s="243">
        <v>6045</v>
      </c>
      <c r="Z21" s="241">
        <v>94</v>
      </c>
      <c r="AA21" s="241">
        <v>645</v>
      </c>
      <c r="AB21" s="242">
        <v>3</v>
      </c>
      <c r="AC21" s="243">
        <v>3634</v>
      </c>
      <c r="AD21" s="241">
        <v>727</v>
      </c>
      <c r="AE21" s="241">
        <v>170</v>
      </c>
      <c r="AF21" s="242">
        <v>69</v>
      </c>
      <c r="AG21" s="243">
        <v>6952</v>
      </c>
      <c r="AH21" s="241">
        <v>547</v>
      </c>
      <c r="AI21" s="241">
        <v>408</v>
      </c>
      <c r="AJ21" s="242">
        <v>14</v>
      </c>
      <c r="AK21" s="243">
        <v>16986</v>
      </c>
      <c r="AL21" s="244">
        <v>1402</v>
      </c>
      <c r="AM21" s="243">
        <v>1430</v>
      </c>
      <c r="AN21" s="242">
        <v>97</v>
      </c>
      <c r="AP21" s="245">
        <v>2013</v>
      </c>
      <c r="AQ21" s="234">
        <v>1430</v>
      </c>
      <c r="AR21" s="246">
        <v>97</v>
      </c>
      <c r="AS21" s="247">
        <v>1.6E-2</v>
      </c>
      <c r="AT21" s="248">
        <v>3.3000000000000002E-2</v>
      </c>
      <c r="AU21" s="249">
        <v>0.02</v>
      </c>
      <c r="AV21" s="250">
        <v>0.02</v>
      </c>
      <c r="AX21" s="251">
        <v>2013</v>
      </c>
      <c r="AY21" s="247">
        <v>6.8000000000000005E-2</v>
      </c>
      <c r="AZ21" s="247">
        <v>0.14000000000000001</v>
      </c>
      <c r="BA21" s="248">
        <v>0.14000000000000001</v>
      </c>
      <c r="BB21" s="257" t="s">
        <v>201</v>
      </c>
      <c r="BC21" s="258">
        <v>0.13</v>
      </c>
      <c r="BE21" s="245">
        <v>1998</v>
      </c>
      <c r="BF21" s="237">
        <v>1610</v>
      </c>
      <c r="BG21" s="236">
        <v>9440</v>
      </c>
      <c r="BH21" s="223" t="s">
        <v>191</v>
      </c>
      <c r="BI21" s="253" t="s">
        <v>191</v>
      </c>
      <c r="BJ21" s="237">
        <v>34836</v>
      </c>
      <c r="BK21" s="254">
        <v>134687</v>
      </c>
      <c r="BL21" s="223" t="s">
        <v>191</v>
      </c>
      <c r="BM21" s="223" t="s">
        <v>191</v>
      </c>
      <c r="BN21" s="237">
        <v>3415</v>
      </c>
      <c r="BO21" s="236">
        <v>40241</v>
      </c>
      <c r="BP21" s="237">
        <v>144507</v>
      </c>
      <c r="BQ21" s="237">
        <v>39861</v>
      </c>
      <c r="BR21" s="254">
        <v>184368</v>
      </c>
    </row>
    <row r="22" spans="2:70" ht="15.75" x14ac:dyDescent="0.25">
      <c r="B22" s="233" t="s">
        <v>207</v>
      </c>
      <c r="C22" s="234">
        <v>100444</v>
      </c>
      <c r="D22" s="221"/>
      <c r="E22" s="235">
        <f t="shared" si="2"/>
        <v>100444</v>
      </c>
      <c r="F22" s="234">
        <v>7877</v>
      </c>
      <c r="G22" s="236">
        <v>108321</v>
      </c>
      <c r="H22" s="237">
        <v>39212</v>
      </c>
      <c r="I22" s="221"/>
      <c r="J22" s="235">
        <f t="shared" si="0"/>
        <v>39212</v>
      </c>
      <c r="K22" s="237">
        <v>1633</v>
      </c>
      <c r="L22" s="236">
        <v>40845</v>
      </c>
      <c r="M22" s="237">
        <v>139656</v>
      </c>
      <c r="N22" s="221"/>
      <c r="O22" s="238">
        <f t="shared" si="1"/>
        <v>139656</v>
      </c>
      <c r="P22" s="237">
        <v>9510</v>
      </c>
      <c r="Q22" s="236">
        <v>149166</v>
      </c>
      <c r="R22" s="255">
        <f t="shared" si="3"/>
        <v>2006</v>
      </c>
      <c r="T22" s="240">
        <v>2014</v>
      </c>
      <c r="U22" s="241">
        <v>527</v>
      </c>
      <c r="V22" s="241">
        <v>119</v>
      </c>
      <c r="W22" s="241">
        <v>335</v>
      </c>
      <c r="X22" s="242">
        <v>31</v>
      </c>
      <c r="Y22" s="243">
        <v>5870</v>
      </c>
      <c r="Z22" s="241">
        <v>505</v>
      </c>
      <c r="AA22" s="241">
        <v>514</v>
      </c>
      <c r="AB22" s="242">
        <v>13</v>
      </c>
      <c r="AC22" s="243">
        <v>4182</v>
      </c>
      <c r="AD22" s="243">
        <v>1246</v>
      </c>
      <c r="AE22" s="241">
        <v>250</v>
      </c>
      <c r="AF22" s="242">
        <v>63</v>
      </c>
      <c r="AG22" s="243">
        <v>7196</v>
      </c>
      <c r="AH22" s="243">
        <v>1916</v>
      </c>
      <c r="AI22" s="241">
        <v>449</v>
      </c>
      <c r="AJ22" s="242">
        <v>47</v>
      </c>
      <c r="AK22" s="243">
        <v>17775</v>
      </c>
      <c r="AL22" s="244">
        <v>3787</v>
      </c>
      <c r="AM22" s="243">
        <v>1549</v>
      </c>
      <c r="AN22" s="242">
        <v>152</v>
      </c>
      <c r="AP22" s="245">
        <v>2014</v>
      </c>
      <c r="AQ22" s="234">
        <v>1549</v>
      </c>
      <c r="AR22" s="246">
        <v>152</v>
      </c>
      <c r="AS22" s="247">
        <v>1.4E-2</v>
      </c>
      <c r="AT22" s="248">
        <v>1.0999999999999999E-2</v>
      </c>
      <c r="AU22" s="249">
        <v>0.02</v>
      </c>
      <c r="AV22" s="250">
        <v>0.02</v>
      </c>
      <c r="AX22" s="251">
        <v>2014</v>
      </c>
      <c r="AY22" s="247">
        <v>7.4999999999999997E-2</v>
      </c>
      <c r="AZ22" s="247">
        <v>0.156</v>
      </c>
      <c r="BA22" s="248">
        <v>0.122</v>
      </c>
      <c r="BB22" s="257" t="s">
        <v>201</v>
      </c>
      <c r="BC22" s="258">
        <v>0.2</v>
      </c>
      <c r="BE22" s="245">
        <v>1999</v>
      </c>
      <c r="BF22" s="237">
        <v>1310</v>
      </c>
      <c r="BG22" s="236">
        <v>7160</v>
      </c>
      <c r="BH22" s="223" t="s">
        <v>191</v>
      </c>
      <c r="BI22" s="253" t="s">
        <v>191</v>
      </c>
      <c r="BJ22" s="237">
        <v>56626</v>
      </c>
      <c r="BK22" s="254">
        <v>176466</v>
      </c>
      <c r="BL22" s="223" t="s">
        <v>191</v>
      </c>
      <c r="BM22" s="223" t="s">
        <v>191</v>
      </c>
      <c r="BN22" s="237">
        <v>3740</v>
      </c>
      <c r="BO22" s="236">
        <v>22137</v>
      </c>
      <c r="BP22" s="237">
        <v>144087</v>
      </c>
      <c r="BQ22" s="237">
        <v>61676</v>
      </c>
      <c r="BR22" s="254">
        <v>205763</v>
      </c>
    </row>
    <row r="23" spans="2:70" ht="15.75" x14ac:dyDescent="0.25">
      <c r="B23" s="233" t="s">
        <v>208</v>
      </c>
      <c r="C23" s="234">
        <v>117017</v>
      </c>
      <c r="D23" s="221"/>
      <c r="E23" s="235">
        <f t="shared" si="2"/>
        <v>117017</v>
      </c>
      <c r="F23" s="234">
        <v>11242</v>
      </c>
      <c r="G23" s="236">
        <v>128259</v>
      </c>
      <c r="H23" s="237">
        <v>23959</v>
      </c>
      <c r="I23" s="221"/>
      <c r="J23" s="235">
        <f t="shared" si="0"/>
        <v>23959</v>
      </c>
      <c r="K23" s="237">
        <v>2924</v>
      </c>
      <c r="L23" s="236">
        <v>26883</v>
      </c>
      <c r="M23" s="237">
        <v>140976</v>
      </c>
      <c r="N23" s="221"/>
      <c r="O23" s="238">
        <f t="shared" si="1"/>
        <v>140976</v>
      </c>
      <c r="P23" s="237">
        <v>14166</v>
      </c>
      <c r="Q23" s="236">
        <v>155142</v>
      </c>
      <c r="R23" s="255">
        <f t="shared" si="3"/>
        <v>2007</v>
      </c>
      <c r="T23" s="240">
        <v>2015</v>
      </c>
      <c r="U23" s="241">
        <v>417</v>
      </c>
      <c r="V23" s="241">
        <v>55</v>
      </c>
      <c r="W23" s="241">
        <v>172</v>
      </c>
      <c r="X23" s="242">
        <v>15</v>
      </c>
      <c r="Y23" s="243">
        <v>4124</v>
      </c>
      <c r="Z23" s="241">
        <v>88</v>
      </c>
      <c r="AA23" s="241">
        <v>258</v>
      </c>
      <c r="AB23" s="242">
        <v>3</v>
      </c>
      <c r="AC23" s="243">
        <v>6072</v>
      </c>
      <c r="AD23" s="243">
        <v>1477</v>
      </c>
      <c r="AE23" s="241">
        <v>259</v>
      </c>
      <c r="AF23" s="242">
        <v>52</v>
      </c>
      <c r="AG23" s="243">
        <v>10904</v>
      </c>
      <c r="AH23" s="241">
        <v>661</v>
      </c>
      <c r="AI23" s="241">
        <v>483</v>
      </c>
      <c r="AJ23" s="242">
        <v>21</v>
      </c>
      <c r="AK23" s="243">
        <v>21517</v>
      </c>
      <c r="AL23" s="244">
        <v>2280</v>
      </c>
      <c r="AM23" s="243">
        <v>1172</v>
      </c>
      <c r="AN23" s="242">
        <v>90</v>
      </c>
      <c r="AP23" s="245">
        <v>2015</v>
      </c>
      <c r="AQ23" s="234">
        <v>1172</v>
      </c>
      <c r="AR23" s="246">
        <v>90</v>
      </c>
      <c r="AS23" s="247">
        <v>1.4E-2</v>
      </c>
      <c r="AT23" s="248">
        <v>1.4999999999999999E-2</v>
      </c>
      <c r="AU23" s="249">
        <v>0.02</v>
      </c>
      <c r="AV23" s="250">
        <v>0.02</v>
      </c>
      <c r="AX23" s="251">
        <v>2015</v>
      </c>
      <c r="AY23" s="247">
        <v>6.3E-2</v>
      </c>
      <c r="AZ23" s="247">
        <v>0.13700000000000001</v>
      </c>
      <c r="BA23" s="248">
        <v>0.121</v>
      </c>
      <c r="BB23" s="257" t="s">
        <v>201</v>
      </c>
      <c r="BC23" s="258">
        <v>0.13</v>
      </c>
      <c r="BE23" s="245">
        <v>2000</v>
      </c>
      <c r="BF23" s="237">
        <v>5728</v>
      </c>
      <c r="BG23" s="236">
        <v>16619</v>
      </c>
      <c r="BH23" s="223" t="s">
        <v>191</v>
      </c>
      <c r="BI23" s="253" t="s">
        <v>191</v>
      </c>
      <c r="BJ23" s="237">
        <v>63628</v>
      </c>
      <c r="BK23" s="254">
        <v>216723</v>
      </c>
      <c r="BL23" s="223" t="s">
        <v>191</v>
      </c>
      <c r="BM23" s="223" t="s">
        <v>191</v>
      </c>
      <c r="BN23" s="237">
        <v>8368</v>
      </c>
      <c r="BO23" s="236">
        <v>40909</v>
      </c>
      <c r="BP23" s="237">
        <v>196527</v>
      </c>
      <c r="BQ23" s="237">
        <v>77724</v>
      </c>
      <c r="BR23" s="254">
        <v>274251</v>
      </c>
    </row>
    <row r="24" spans="2:70" ht="15.75" x14ac:dyDescent="0.25">
      <c r="B24" s="233" t="s">
        <v>209</v>
      </c>
      <c r="C24" s="234">
        <v>107283</v>
      </c>
      <c r="D24" s="221"/>
      <c r="E24" s="235">
        <f t="shared" si="2"/>
        <v>107283</v>
      </c>
      <c r="F24" s="234">
        <v>18217</v>
      </c>
      <c r="G24" s="236">
        <v>125500</v>
      </c>
      <c r="H24" s="237">
        <v>47711</v>
      </c>
      <c r="I24" s="221"/>
      <c r="J24" s="235">
        <f t="shared" si="0"/>
        <v>47711</v>
      </c>
      <c r="K24" s="237">
        <v>5659</v>
      </c>
      <c r="L24" s="236">
        <v>53370</v>
      </c>
      <c r="M24" s="237">
        <v>154994</v>
      </c>
      <c r="N24" s="221"/>
      <c r="O24" s="238">
        <f t="shared" si="1"/>
        <v>154994</v>
      </c>
      <c r="P24" s="237">
        <v>23876</v>
      </c>
      <c r="Q24" s="236">
        <v>178870</v>
      </c>
      <c r="R24" s="255">
        <f t="shared" si="3"/>
        <v>2008</v>
      </c>
      <c r="T24" s="240">
        <v>2016</v>
      </c>
      <c r="U24" s="241">
        <v>458</v>
      </c>
      <c r="V24" s="241">
        <v>72</v>
      </c>
      <c r="W24" s="241">
        <v>147</v>
      </c>
      <c r="X24" s="242">
        <v>13</v>
      </c>
      <c r="Y24" s="243">
        <v>1371</v>
      </c>
      <c r="Z24" s="241">
        <v>491</v>
      </c>
      <c r="AA24" s="241">
        <v>83</v>
      </c>
      <c r="AB24" s="242">
        <v>3</v>
      </c>
      <c r="AC24" s="243">
        <v>2087</v>
      </c>
      <c r="AD24" s="243">
        <v>2492</v>
      </c>
      <c r="AE24" s="241">
        <v>52</v>
      </c>
      <c r="AF24" s="242">
        <v>17</v>
      </c>
      <c r="AG24" s="243">
        <v>3442</v>
      </c>
      <c r="AH24" s="243">
        <v>1862</v>
      </c>
      <c r="AI24" s="241">
        <v>70</v>
      </c>
      <c r="AJ24" s="242">
        <v>14</v>
      </c>
      <c r="AK24" s="243">
        <v>7358</v>
      </c>
      <c r="AL24" s="244">
        <v>4916</v>
      </c>
      <c r="AM24" s="241">
        <v>352</v>
      </c>
      <c r="AN24" s="242">
        <v>48</v>
      </c>
      <c r="AP24" s="245">
        <v>2016</v>
      </c>
      <c r="AQ24" s="220">
        <v>352</v>
      </c>
      <c r="AR24" s="246">
        <v>48</v>
      </c>
      <c r="AS24" s="247">
        <v>1.0999999999999999E-2</v>
      </c>
      <c r="AT24" s="248">
        <v>7.0000000000000001E-3</v>
      </c>
      <c r="AU24" s="249">
        <v>0.02</v>
      </c>
      <c r="AV24" s="250">
        <v>0.02</v>
      </c>
      <c r="AX24" s="251">
        <v>2016</v>
      </c>
      <c r="AY24" s="247">
        <v>0.1</v>
      </c>
      <c r="AZ24" s="247">
        <v>0.20799999999999999</v>
      </c>
      <c r="BA24" s="248">
        <v>0.10100000000000001</v>
      </c>
      <c r="BB24" s="257" t="s">
        <v>201</v>
      </c>
      <c r="BC24" s="258">
        <v>0.2</v>
      </c>
      <c r="BE24" s="245">
        <v>2001</v>
      </c>
      <c r="BF24" s="237">
        <v>7952</v>
      </c>
      <c r="BG24" s="236">
        <v>28725</v>
      </c>
      <c r="BH24" s="223" t="s">
        <v>191</v>
      </c>
      <c r="BI24" s="253" t="s">
        <v>191</v>
      </c>
      <c r="BJ24" s="237">
        <v>137230</v>
      </c>
      <c r="BK24" s="254">
        <v>515079</v>
      </c>
      <c r="BL24" s="223" t="s">
        <v>191</v>
      </c>
      <c r="BM24" s="223" t="s">
        <v>191</v>
      </c>
      <c r="BN24" s="237">
        <v>12047</v>
      </c>
      <c r="BO24" s="236">
        <v>86426</v>
      </c>
      <c r="BP24" s="237">
        <v>473001</v>
      </c>
      <c r="BQ24" s="237">
        <v>157229</v>
      </c>
      <c r="BR24" s="254">
        <v>630230</v>
      </c>
    </row>
    <row r="25" spans="2:70" ht="15.75" x14ac:dyDescent="0.25">
      <c r="B25" s="233" t="s">
        <v>210</v>
      </c>
      <c r="C25" s="234">
        <v>261388</v>
      </c>
      <c r="D25" s="221"/>
      <c r="E25" s="235">
        <f t="shared" si="2"/>
        <v>261388</v>
      </c>
      <c r="F25" s="234">
        <v>38210</v>
      </c>
      <c r="G25" s="236">
        <v>299598</v>
      </c>
      <c r="H25" s="237">
        <v>19255</v>
      </c>
      <c r="I25" s="221"/>
      <c r="J25" s="235">
        <f t="shared" si="0"/>
        <v>19255</v>
      </c>
      <c r="K25" s="237">
        <v>4529</v>
      </c>
      <c r="L25" s="236">
        <v>23784</v>
      </c>
      <c r="M25" s="237">
        <v>280643</v>
      </c>
      <c r="N25" s="221"/>
      <c r="O25" s="238">
        <f t="shared" si="1"/>
        <v>280643</v>
      </c>
      <c r="P25" s="237">
        <v>42739</v>
      </c>
      <c r="Q25" s="236">
        <v>323382</v>
      </c>
      <c r="R25" s="255">
        <f t="shared" si="3"/>
        <v>2009</v>
      </c>
      <c r="T25" s="240" t="s">
        <v>211</v>
      </c>
      <c r="U25" s="241">
        <v>435</v>
      </c>
      <c r="V25" s="241">
        <v>69</v>
      </c>
      <c r="W25" s="241">
        <v>201</v>
      </c>
      <c r="X25" s="242">
        <v>18</v>
      </c>
      <c r="Y25" s="243">
        <v>4507</v>
      </c>
      <c r="Z25" s="241">
        <v>334</v>
      </c>
      <c r="AA25" s="241">
        <v>362</v>
      </c>
      <c r="AB25" s="242">
        <v>12</v>
      </c>
      <c r="AC25" s="243">
        <v>4350</v>
      </c>
      <c r="AD25" s="243">
        <v>1685</v>
      </c>
      <c r="AE25" s="241">
        <v>183</v>
      </c>
      <c r="AF25" s="242">
        <v>58</v>
      </c>
      <c r="AG25" s="243">
        <v>6587</v>
      </c>
      <c r="AH25" s="243">
        <v>1209</v>
      </c>
      <c r="AI25" s="241">
        <v>310</v>
      </c>
      <c r="AJ25" s="242">
        <v>24</v>
      </c>
      <c r="AK25" s="243">
        <v>15879</v>
      </c>
      <c r="AL25" s="244">
        <v>3297</v>
      </c>
      <c r="AM25" s="243">
        <v>1055</v>
      </c>
      <c r="AN25" s="242">
        <v>111</v>
      </c>
      <c r="AP25" s="245" t="s">
        <v>211</v>
      </c>
      <c r="AQ25" s="234">
        <v>1055</v>
      </c>
      <c r="AR25" s="246">
        <v>111</v>
      </c>
      <c r="AS25" s="247">
        <v>1.4E-2</v>
      </c>
      <c r="AT25" s="248">
        <v>1.7999999999999999E-2</v>
      </c>
      <c r="AU25" s="249">
        <v>0.02</v>
      </c>
      <c r="AV25" s="250">
        <v>0.02</v>
      </c>
      <c r="AX25" s="251" t="s">
        <v>211</v>
      </c>
      <c r="AY25" s="247">
        <v>7.5999999999999998E-2</v>
      </c>
      <c r="AZ25" s="247">
        <v>0.16500000000000001</v>
      </c>
      <c r="BA25" s="248">
        <v>0.124</v>
      </c>
      <c r="BB25" s="221" t="s">
        <v>165</v>
      </c>
      <c r="BC25" s="258">
        <v>0.16</v>
      </c>
      <c r="BE25" s="245">
        <v>2002</v>
      </c>
      <c r="BF25" s="237">
        <v>9671</v>
      </c>
      <c r="BG25" s="236">
        <v>24991</v>
      </c>
      <c r="BH25" s="223" t="s">
        <v>191</v>
      </c>
      <c r="BI25" s="253" t="s">
        <v>191</v>
      </c>
      <c r="BJ25" s="237">
        <v>87276</v>
      </c>
      <c r="BK25" s="254">
        <v>323124</v>
      </c>
      <c r="BL25" s="223" t="s">
        <v>191</v>
      </c>
      <c r="BM25" s="223" t="s">
        <v>191</v>
      </c>
      <c r="BN25" s="237">
        <v>32333</v>
      </c>
      <c r="BO25" s="236">
        <v>129882</v>
      </c>
      <c r="BP25" s="237">
        <v>348717</v>
      </c>
      <c r="BQ25" s="237">
        <v>129280</v>
      </c>
      <c r="BR25" s="254">
        <v>477997</v>
      </c>
    </row>
    <row r="26" spans="2:70" ht="16.149999999999999" customHeight="1" thickBot="1" x14ac:dyDescent="0.3">
      <c r="B26" s="233" t="s">
        <v>212</v>
      </c>
      <c r="C26" s="234">
        <v>128471</v>
      </c>
      <c r="D26" s="221"/>
      <c r="E26" s="235">
        <f t="shared" si="2"/>
        <v>128471</v>
      </c>
      <c r="F26" s="234">
        <v>34549</v>
      </c>
      <c r="G26" s="236">
        <v>163020</v>
      </c>
      <c r="H26" s="237">
        <v>35692</v>
      </c>
      <c r="I26" s="221"/>
      <c r="J26" s="235">
        <f t="shared" si="0"/>
        <v>35692</v>
      </c>
      <c r="K26" s="237">
        <v>9584</v>
      </c>
      <c r="L26" s="236">
        <v>45276</v>
      </c>
      <c r="M26" s="237">
        <v>164163</v>
      </c>
      <c r="N26" s="221"/>
      <c r="O26" s="238">
        <f t="shared" si="1"/>
        <v>164163</v>
      </c>
      <c r="P26" s="237">
        <v>44133</v>
      </c>
      <c r="Q26" s="236">
        <v>208296</v>
      </c>
      <c r="R26" s="255">
        <f t="shared" si="3"/>
        <v>2010</v>
      </c>
      <c r="T26" s="259" t="s">
        <v>213</v>
      </c>
      <c r="U26" s="260">
        <v>487</v>
      </c>
      <c r="V26" s="260">
        <v>127</v>
      </c>
      <c r="W26" s="260">
        <v>194</v>
      </c>
      <c r="X26" s="261">
        <v>31</v>
      </c>
      <c r="Y26" s="262">
        <v>5219</v>
      </c>
      <c r="Z26" s="260">
        <v>478</v>
      </c>
      <c r="AA26" s="260">
        <v>348</v>
      </c>
      <c r="AB26" s="261">
        <v>23</v>
      </c>
      <c r="AC26" s="262">
        <v>5387</v>
      </c>
      <c r="AD26" s="262">
        <v>2219</v>
      </c>
      <c r="AE26" s="260">
        <v>196</v>
      </c>
      <c r="AF26" s="261">
        <v>91</v>
      </c>
      <c r="AG26" s="262">
        <v>8176</v>
      </c>
      <c r="AH26" s="262">
        <v>1988</v>
      </c>
      <c r="AI26" s="260">
        <v>336</v>
      </c>
      <c r="AJ26" s="261">
        <v>53</v>
      </c>
      <c r="AK26" s="262">
        <v>19267</v>
      </c>
      <c r="AL26" s="263">
        <v>4811</v>
      </c>
      <c r="AM26" s="262">
        <v>1074</v>
      </c>
      <c r="AN26" s="261">
        <v>198</v>
      </c>
      <c r="AP26" s="264" t="s">
        <v>213</v>
      </c>
      <c r="AQ26" s="265">
        <v>1074</v>
      </c>
      <c r="AR26" s="266">
        <v>198</v>
      </c>
      <c r="AS26" s="267">
        <v>1.2E-2</v>
      </c>
      <c r="AT26" s="268">
        <v>0.02</v>
      </c>
      <c r="AU26" s="269">
        <v>0.02</v>
      </c>
      <c r="AV26" s="270">
        <v>0.02</v>
      </c>
      <c r="AX26" s="271" t="s">
        <v>213</v>
      </c>
      <c r="AY26" s="272">
        <v>6.3E-2</v>
      </c>
      <c r="AZ26" s="272">
        <v>0.16800000000000001</v>
      </c>
      <c r="BA26" s="273">
        <v>0.14499999999999999</v>
      </c>
      <c r="BB26" s="274" t="s">
        <v>165</v>
      </c>
      <c r="BC26" s="275" t="s">
        <v>165</v>
      </c>
      <c r="BE26" s="245">
        <v>2003</v>
      </c>
      <c r="BF26" s="237">
        <v>1801</v>
      </c>
      <c r="BG26" s="236">
        <v>14154</v>
      </c>
      <c r="BH26" s="223" t="s">
        <v>191</v>
      </c>
      <c r="BI26" s="253" t="s">
        <v>191</v>
      </c>
      <c r="BJ26" s="237">
        <v>67049</v>
      </c>
      <c r="BK26" s="254">
        <v>305795</v>
      </c>
      <c r="BL26" s="223" t="s">
        <v>191</v>
      </c>
      <c r="BM26" s="223" t="s">
        <v>191</v>
      </c>
      <c r="BN26" s="237">
        <v>6417</v>
      </c>
      <c r="BO26" s="236">
        <v>37228</v>
      </c>
      <c r="BP26" s="237">
        <v>281910</v>
      </c>
      <c r="BQ26" s="237">
        <v>75268</v>
      </c>
      <c r="BR26" s="254">
        <v>357177</v>
      </c>
    </row>
    <row r="27" spans="2:70" ht="15.75" x14ac:dyDescent="0.25">
      <c r="B27" s="233" t="s">
        <v>214</v>
      </c>
      <c r="C27" s="234">
        <v>120967</v>
      </c>
      <c r="D27" s="221"/>
      <c r="E27" s="235">
        <f t="shared" si="2"/>
        <v>120967</v>
      </c>
      <c r="F27" s="234">
        <v>35241</v>
      </c>
      <c r="G27" s="236">
        <v>156208</v>
      </c>
      <c r="H27" s="237">
        <v>19914</v>
      </c>
      <c r="I27" s="221"/>
      <c r="J27" s="235">
        <f t="shared" si="0"/>
        <v>19914</v>
      </c>
      <c r="K27" s="237">
        <v>4198</v>
      </c>
      <c r="L27" s="236">
        <v>24112</v>
      </c>
      <c r="M27" s="237">
        <v>140881</v>
      </c>
      <c r="N27" s="221"/>
      <c r="O27" s="238">
        <f t="shared" si="1"/>
        <v>140881</v>
      </c>
      <c r="P27" s="237">
        <v>39439</v>
      </c>
      <c r="Q27" s="236">
        <v>180320</v>
      </c>
      <c r="R27" s="255">
        <f t="shared" si="3"/>
        <v>2011</v>
      </c>
      <c r="BE27" s="245">
        <v>2004</v>
      </c>
      <c r="BF27" s="237">
        <v>3289</v>
      </c>
      <c r="BG27" s="236">
        <v>20148</v>
      </c>
      <c r="BH27" s="223" t="s">
        <v>191</v>
      </c>
      <c r="BI27" s="253" t="s">
        <v>191</v>
      </c>
      <c r="BJ27" s="237">
        <v>60421</v>
      </c>
      <c r="BK27" s="254">
        <v>250615</v>
      </c>
      <c r="BL27" s="223" t="s">
        <v>191</v>
      </c>
      <c r="BM27" s="223" t="s">
        <v>191</v>
      </c>
      <c r="BN27" s="237">
        <v>9202</v>
      </c>
      <c r="BO27" s="236">
        <v>37398</v>
      </c>
      <c r="BP27" s="237">
        <v>235249</v>
      </c>
      <c r="BQ27" s="237">
        <v>72912</v>
      </c>
      <c r="BR27" s="254">
        <v>308161</v>
      </c>
    </row>
    <row r="28" spans="2:70" ht="15.75" x14ac:dyDescent="0.25">
      <c r="B28" s="233" t="s">
        <v>215</v>
      </c>
      <c r="C28" s="234">
        <v>68378</v>
      </c>
      <c r="D28" s="221"/>
      <c r="E28" s="235">
        <f t="shared" si="2"/>
        <v>68378</v>
      </c>
      <c r="F28" s="234">
        <v>19806</v>
      </c>
      <c r="G28" s="236">
        <v>88184</v>
      </c>
      <c r="H28" s="237">
        <v>17665</v>
      </c>
      <c r="I28" s="221"/>
      <c r="J28" s="235">
        <f t="shared" si="0"/>
        <v>17665</v>
      </c>
      <c r="K28" s="237">
        <v>3337</v>
      </c>
      <c r="L28" s="236">
        <v>21002</v>
      </c>
      <c r="M28" s="237">
        <v>86043</v>
      </c>
      <c r="N28" s="221"/>
      <c r="O28" s="238">
        <f t="shared" si="1"/>
        <v>86043</v>
      </c>
      <c r="P28" s="237">
        <v>23143</v>
      </c>
      <c r="Q28" s="236">
        <v>109186</v>
      </c>
      <c r="R28" s="255">
        <f t="shared" si="3"/>
        <v>2012</v>
      </c>
      <c r="BE28" s="245">
        <v>2005</v>
      </c>
      <c r="BF28" s="237">
        <v>2123</v>
      </c>
      <c r="BG28" s="236">
        <v>11221</v>
      </c>
      <c r="BH28" s="223" t="s">
        <v>191</v>
      </c>
      <c r="BI28" s="253" t="s">
        <v>191</v>
      </c>
      <c r="BJ28" s="237">
        <v>58917</v>
      </c>
      <c r="BK28" s="254">
        <v>251631</v>
      </c>
      <c r="BL28" s="223" t="s">
        <v>191</v>
      </c>
      <c r="BM28" s="223" t="s">
        <v>191</v>
      </c>
      <c r="BN28" s="237">
        <v>9619</v>
      </c>
      <c r="BO28" s="236">
        <v>48968</v>
      </c>
      <c r="BP28" s="237">
        <v>241161</v>
      </c>
      <c r="BQ28" s="237">
        <v>70659</v>
      </c>
      <c r="BR28" s="254">
        <v>311820</v>
      </c>
    </row>
    <row r="29" spans="2:70" ht="15.75" x14ac:dyDescent="0.25">
      <c r="B29" s="233" t="s">
        <v>216</v>
      </c>
      <c r="C29" s="234">
        <v>75660</v>
      </c>
      <c r="D29" s="221"/>
      <c r="E29" s="235">
        <f t="shared" si="2"/>
        <v>75660</v>
      </c>
      <c r="F29" s="234">
        <v>23469</v>
      </c>
      <c r="G29" s="236">
        <v>99129</v>
      </c>
      <c r="H29" s="237">
        <v>7139</v>
      </c>
      <c r="I29" s="221"/>
      <c r="J29" s="235">
        <f t="shared" si="0"/>
        <v>7139</v>
      </c>
      <c r="K29" s="237">
        <v>1886</v>
      </c>
      <c r="L29" s="236">
        <v>9025</v>
      </c>
      <c r="M29" s="237">
        <v>82799</v>
      </c>
      <c r="N29" s="221"/>
      <c r="O29" s="238">
        <f t="shared" si="1"/>
        <v>82799</v>
      </c>
      <c r="P29" s="237">
        <v>25355</v>
      </c>
      <c r="Q29" s="236">
        <v>108154</v>
      </c>
      <c r="R29" s="255">
        <f t="shared" si="3"/>
        <v>2013</v>
      </c>
      <c r="BE29" s="245">
        <v>2006</v>
      </c>
      <c r="BF29" s="237">
        <v>2181</v>
      </c>
      <c r="BG29" s="236">
        <v>9882</v>
      </c>
      <c r="BH29" s="223" t="s">
        <v>191</v>
      </c>
      <c r="BI29" s="253" t="s">
        <v>191</v>
      </c>
      <c r="BJ29" s="237">
        <v>63735</v>
      </c>
      <c r="BK29" s="254">
        <v>245168</v>
      </c>
      <c r="BL29" s="223" t="s">
        <v>191</v>
      </c>
      <c r="BM29" s="223" t="s">
        <v>191</v>
      </c>
      <c r="BN29" s="237">
        <v>8466</v>
      </c>
      <c r="BO29" s="236">
        <v>74128</v>
      </c>
      <c r="BP29" s="237">
        <v>254796</v>
      </c>
      <c r="BQ29" s="237">
        <v>74382</v>
      </c>
      <c r="BR29" s="254">
        <v>329178</v>
      </c>
    </row>
    <row r="30" spans="2:70" ht="15.75" x14ac:dyDescent="0.25">
      <c r="B30" s="233" t="s">
        <v>217</v>
      </c>
      <c r="C30" s="234">
        <v>93460</v>
      </c>
      <c r="D30" s="221"/>
      <c r="E30" s="235">
        <f t="shared" si="2"/>
        <v>93460</v>
      </c>
      <c r="F30" s="234">
        <v>39286</v>
      </c>
      <c r="G30" s="236">
        <v>132746</v>
      </c>
      <c r="H30" s="237">
        <v>22900</v>
      </c>
      <c r="I30" s="221"/>
      <c r="J30" s="235">
        <f t="shared" si="0"/>
        <v>22900</v>
      </c>
      <c r="K30" s="237">
        <v>8822</v>
      </c>
      <c r="L30" s="236">
        <v>31722</v>
      </c>
      <c r="M30" s="237">
        <v>116360</v>
      </c>
      <c r="N30" s="221"/>
      <c r="O30" s="238">
        <f t="shared" si="1"/>
        <v>116360</v>
      </c>
      <c r="P30" s="237">
        <v>48108</v>
      </c>
      <c r="Q30" s="236">
        <v>164468</v>
      </c>
      <c r="R30" s="255">
        <f t="shared" si="3"/>
        <v>2014</v>
      </c>
      <c r="BE30" s="245">
        <v>2007</v>
      </c>
      <c r="BF30" s="237">
        <v>1727</v>
      </c>
      <c r="BG30" s="236">
        <v>9475</v>
      </c>
      <c r="BH30" s="223" t="s">
        <v>191</v>
      </c>
      <c r="BI30" s="253" t="s">
        <v>191</v>
      </c>
      <c r="BJ30" s="237">
        <v>77268</v>
      </c>
      <c r="BK30" s="254">
        <v>258848</v>
      </c>
      <c r="BL30" s="223" t="s">
        <v>191</v>
      </c>
      <c r="BM30" s="223" t="s">
        <v>191</v>
      </c>
      <c r="BN30" s="237">
        <v>9015</v>
      </c>
      <c r="BO30" s="236">
        <v>51073</v>
      </c>
      <c r="BP30" s="237">
        <v>231386</v>
      </c>
      <c r="BQ30" s="237">
        <v>88010</v>
      </c>
      <c r="BR30" s="254">
        <v>319396</v>
      </c>
    </row>
    <row r="31" spans="2:70" ht="16.5" thickBot="1" x14ac:dyDescent="0.3">
      <c r="B31" s="276" t="s">
        <v>218</v>
      </c>
      <c r="C31" s="265">
        <v>90570</v>
      </c>
      <c r="D31" s="215"/>
      <c r="E31" s="235">
        <f t="shared" si="2"/>
        <v>90570</v>
      </c>
      <c r="F31" s="265">
        <v>32497</v>
      </c>
      <c r="G31" s="277">
        <v>123067</v>
      </c>
      <c r="H31" s="278">
        <v>8803</v>
      </c>
      <c r="I31" s="215"/>
      <c r="J31" s="235">
        <f t="shared" si="0"/>
        <v>8803</v>
      </c>
      <c r="K31" s="278">
        <v>4279</v>
      </c>
      <c r="L31" s="277">
        <v>13082</v>
      </c>
      <c r="M31" s="278">
        <v>99373</v>
      </c>
      <c r="N31" s="215"/>
      <c r="O31" s="238">
        <f t="shared" si="1"/>
        <v>99373</v>
      </c>
      <c r="P31" s="278">
        <v>36776</v>
      </c>
      <c r="Q31" s="277">
        <v>136149</v>
      </c>
      <c r="R31" s="255">
        <f t="shared" si="3"/>
        <v>2015</v>
      </c>
      <c r="AZ31" t="s">
        <v>219</v>
      </c>
      <c r="BA31" t="s">
        <v>220</v>
      </c>
      <c r="BB31" t="s">
        <v>119</v>
      </c>
      <c r="BE31" s="245">
        <v>2008</v>
      </c>
      <c r="BF31" s="237">
        <v>4489</v>
      </c>
      <c r="BG31" s="236">
        <v>15832</v>
      </c>
      <c r="BH31" s="223" t="s">
        <v>191</v>
      </c>
      <c r="BI31" s="253" t="s">
        <v>191</v>
      </c>
      <c r="BJ31" s="237">
        <v>81648</v>
      </c>
      <c r="BK31" s="254">
        <v>245823</v>
      </c>
      <c r="BL31" s="223" t="s">
        <v>191</v>
      </c>
      <c r="BM31" s="223" t="s">
        <v>191</v>
      </c>
      <c r="BN31" s="237">
        <v>18529</v>
      </c>
      <c r="BO31" s="236">
        <v>93429</v>
      </c>
      <c r="BP31" s="237">
        <v>250418</v>
      </c>
      <c r="BQ31" s="237">
        <v>104666</v>
      </c>
      <c r="BR31" s="254">
        <v>355084</v>
      </c>
    </row>
    <row r="32" spans="2:70" ht="16.5" thickBot="1" x14ac:dyDescent="0.3">
      <c r="B32" s="276" t="s">
        <v>221</v>
      </c>
      <c r="C32" s="265">
        <v>52932</v>
      </c>
      <c r="D32" s="265">
        <v>1791</v>
      </c>
      <c r="E32" s="235">
        <f t="shared" si="2"/>
        <v>54723</v>
      </c>
      <c r="F32" s="265">
        <v>14018</v>
      </c>
      <c r="G32" s="277">
        <v>68741</v>
      </c>
      <c r="H32" s="278">
        <v>26100</v>
      </c>
      <c r="I32" s="278">
        <v>1374</v>
      </c>
      <c r="J32" s="235">
        <f t="shared" si="0"/>
        <v>27474</v>
      </c>
      <c r="K32" s="278">
        <v>5633</v>
      </c>
      <c r="L32" s="277">
        <v>33107</v>
      </c>
      <c r="M32" s="278">
        <v>79032</v>
      </c>
      <c r="N32" s="278">
        <v>3165</v>
      </c>
      <c r="O32" s="278">
        <f>M32+N32</f>
        <v>82197</v>
      </c>
      <c r="P32" s="278">
        <v>19651</v>
      </c>
      <c r="Q32" s="277">
        <v>101848</v>
      </c>
      <c r="AY32" t="s">
        <v>222</v>
      </c>
      <c r="AZ32" s="279">
        <f>AVERAGE(AS15:AS24)</f>
        <v>1.2E-2</v>
      </c>
      <c r="BA32" s="279">
        <f>AVERAGE(AY15:AY24)</f>
        <v>6.2700000000000006E-2</v>
      </c>
      <c r="BE32" s="245">
        <v>2009</v>
      </c>
      <c r="BF32" s="237">
        <v>3528</v>
      </c>
      <c r="BG32" s="236">
        <v>13884</v>
      </c>
      <c r="BH32" s="223" t="s">
        <v>191</v>
      </c>
      <c r="BI32" s="253" t="s">
        <v>191</v>
      </c>
      <c r="BJ32" s="237">
        <v>154045</v>
      </c>
      <c r="BK32" s="254">
        <v>543195</v>
      </c>
      <c r="BL32" s="223" t="s">
        <v>191</v>
      </c>
      <c r="BM32" s="223" t="s">
        <v>191</v>
      </c>
      <c r="BN32" s="237">
        <v>13727</v>
      </c>
      <c r="BO32" s="236">
        <v>44540</v>
      </c>
      <c r="BP32" s="237">
        <v>430319</v>
      </c>
      <c r="BQ32" s="237">
        <v>171300</v>
      </c>
      <c r="BR32" s="254">
        <v>601619</v>
      </c>
    </row>
    <row r="33" spans="2:70" x14ac:dyDescent="0.25">
      <c r="B33" s="280"/>
      <c r="AY33" t="s">
        <v>223</v>
      </c>
      <c r="AZ33" s="279">
        <f>AVERAGE(AT15:AT24)</f>
        <v>0.02</v>
      </c>
      <c r="BA33" s="279">
        <f>AVERAGE(AZ15:AZ24)</f>
        <v>0.16850000000000001</v>
      </c>
      <c r="BE33" s="245">
        <v>2010</v>
      </c>
      <c r="BF33" s="237">
        <v>10357</v>
      </c>
      <c r="BG33" s="236">
        <v>29270</v>
      </c>
      <c r="BH33" s="223" t="s">
        <v>191</v>
      </c>
      <c r="BI33" s="253" t="s">
        <v>191</v>
      </c>
      <c r="BJ33" s="237">
        <v>120531</v>
      </c>
      <c r="BK33" s="254">
        <v>304002</v>
      </c>
      <c r="BL33" s="223" t="s">
        <v>191</v>
      </c>
      <c r="BM33" s="223" t="s">
        <v>191</v>
      </c>
      <c r="BN33" s="237">
        <v>22364</v>
      </c>
      <c r="BO33" s="236">
        <v>77146</v>
      </c>
      <c r="BP33" s="237">
        <v>257166</v>
      </c>
      <c r="BQ33" s="237">
        <v>153252</v>
      </c>
      <c r="BR33" s="254">
        <v>410418</v>
      </c>
    </row>
    <row r="34" spans="2:70" x14ac:dyDescent="0.25">
      <c r="B34" s="280"/>
      <c r="E34" s="281">
        <f t="shared" ref="E34:F34" si="4">AVERAGE(E22:E32)</f>
        <v>110760.09090909091</v>
      </c>
      <c r="F34" s="281">
        <f t="shared" si="4"/>
        <v>24946.545454545456</v>
      </c>
      <c r="J34" s="281">
        <f t="shared" ref="J34:K34" si="5">AVERAGE(J22:J32)</f>
        <v>24520.363636363636</v>
      </c>
      <c r="K34" s="281">
        <f t="shared" si="5"/>
        <v>4771.272727272727</v>
      </c>
      <c r="M34" s="281">
        <f>AVERAGE(M22:M32)</f>
        <v>134992.72727272726</v>
      </c>
      <c r="O34" s="281">
        <f>AVERAGE(O22:O32)</f>
        <v>135280.45454545456</v>
      </c>
      <c r="P34" s="281">
        <f>AVERAGE(P22:P32)</f>
        <v>29717.81818181818</v>
      </c>
      <c r="Q34" s="281">
        <f>AVERAGE(Q22:Q32)</f>
        <v>164998.27272727274</v>
      </c>
      <c r="BE34" s="245">
        <v>2011</v>
      </c>
      <c r="BF34" s="237">
        <v>2814</v>
      </c>
      <c r="BG34" s="236">
        <v>9750</v>
      </c>
      <c r="BH34" s="223" t="s">
        <v>191</v>
      </c>
      <c r="BI34" s="253" t="s">
        <v>191</v>
      </c>
      <c r="BJ34" s="237">
        <v>101263</v>
      </c>
      <c r="BK34" s="254">
        <v>318125</v>
      </c>
      <c r="BL34" s="223" t="s">
        <v>191</v>
      </c>
      <c r="BM34" s="223" t="s">
        <v>191</v>
      </c>
      <c r="BN34" s="237">
        <v>7771</v>
      </c>
      <c r="BO34" s="236">
        <v>36996</v>
      </c>
      <c r="BP34" s="237">
        <v>253023</v>
      </c>
      <c r="BQ34" s="237">
        <v>111848</v>
      </c>
      <c r="BR34" s="254">
        <v>364871</v>
      </c>
    </row>
    <row r="35" spans="2:70" x14ac:dyDescent="0.25">
      <c r="BE35" s="245">
        <v>2012</v>
      </c>
      <c r="BF35" s="237">
        <v>3023</v>
      </c>
      <c r="BG35" s="236">
        <v>3023</v>
      </c>
      <c r="BH35" s="223" t="s">
        <v>191</v>
      </c>
      <c r="BI35" s="253" t="s">
        <v>191</v>
      </c>
      <c r="BJ35" s="237">
        <v>55464</v>
      </c>
      <c r="BK35" s="254">
        <v>192134</v>
      </c>
      <c r="BL35" s="223" t="s">
        <v>191</v>
      </c>
      <c r="BM35" s="223" t="s">
        <v>191</v>
      </c>
      <c r="BN35" s="237">
        <v>6813</v>
      </c>
      <c r="BO35" s="236">
        <v>27723</v>
      </c>
      <c r="BP35" s="237">
        <v>165515</v>
      </c>
      <c r="BQ35" s="237">
        <v>65300</v>
      </c>
      <c r="BR35" s="254">
        <v>222880</v>
      </c>
    </row>
    <row r="36" spans="2:70" x14ac:dyDescent="0.25">
      <c r="BE36" s="245">
        <v>2013</v>
      </c>
      <c r="BF36" s="237">
        <v>1661</v>
      </c>
      <c r="BG36" s="236">
        <v>5738</v>
      </c>
      <c r="BH36" s="223" t="s">
        <v>191</v>
      </c>
      <c r="BI36" s="253" t="s">
        <v>191</v>
      </c>
      <c r="BJ36" s="237">
        <v>90496</v>
      </c>
      <c r="BK36" s="254">
        <v>214074</v>
      </c>
      <c r="BL36" s="223" t="s">
        <v>191</v>
      </c>
      <c r="BM36" s="223" t="s">
        <v>191</v>
      </c>
      <c r="BN36" s="237">
        <v>2907</v>
      </c>
      <c r="BO36" s="236">
        <v>11511</v>
      </c>
      <c r="BP36" s="237">
        <v>136259</v>
      </c>
      <c r="BQ36" s="237">
        <v>95064</v>
      </c>
      <c r="BR36" s="254">
        <v>231323</v>
      </c>
    </row>
    <row r="37" spans="2:70" x14ac:dyDescent="0.25">
      <c r="BE37" s="245">
        <v>2014</v>
      </c>
      <c r="BF37" s="237">
        <v>4782</v>
      </c>
      <c r="BG37" s="236">
        <v>13525</v>
      </c>
      <c r="BH37" s="223" t="s">
        <v>191</v>
      </c>
      <c r="BI37" s="253" t="s">
        <v>191</v>
      </c>
      <c r="BJ37" s="237">
        <v>109279</v>
      </c>
      <c r="BK37" s="254">
        <v>260130</v>
      </c>
      <c r="BL37" s="223" t="s">
        <v>191</v>
      </c>
      <c r="BM37" s="223" t="s">
        <v>191</v>
      </c>
      <c r="BN37" s="237">
        <v>13341</v>
      </c>
      <c r="BO37" s="236">
        <v>47057</v>
      </c>
      <c r="BP37" s="237">
        <v>193310</v>
      </c>
      <c r="BQ37" s="237">
        <v>127402</v>
      </c>
      <c r="BR37" s="254">
        <v>320712</v>
      </c>
    </row>
    <row r="38" spans="2:70" x14ac:dyDescent="0.25">
      <c r="BE38" s="245">
        <v>2015</v>
      </c>
      <c r="BF38" s="237">
        <v>3664</v>
      </c>
      <c r="BG38" s="236">
        <v>8131</v>
      </c>
      <c r="BH38" s="223" t="s">
        <v>191</v>
      </c>
      <c r="BI38" s="253" t="s">
        <v>191</v>
      </c>
      <c r="BJ38" s="237">
        <v>84896</v>
      </c>
      <c r="BK38" s="254">
        <v>234382</v>
      </c>
      <c r="BL38" s="223" t="s">
        <v>191</v>
      </c>
      <c r="BM38" s="223" t="s">
        <v>191</v>
      </c>
      <c r="BN38" s="237">
        <v>5842</v>
      </c>
      <c r="BO38" s="236">
        <v>18848</v>
      </c>
      <c r="BP38" s="237">
        <v>166959</v>
      </c>
      <c r="BQ38" s="237">
        <v>94402</v>
      </c>
      <c r="BR38" s="254">
        <v>261361</v>
      </c>
    </row>
    <row r="39" spans="2:70" ht="15.75" thickBot="1" x14ac:dyDescent="0.3">
      <c r="BE39" s="264">
        <v>2016</v>
      </c>
      <c r="BF39" s="278">
        <v>4436</v>
      </c>
      <c r="BG39" s="277">
        <v>12238</v>
      </c>
      <c r="BH39" s="278">
        <v>92225</v>
      </c>
      <c r="BI39" s="277">
        <v>7519</v>
      </c>
      <c r="BJ39" s="278">
        <v>29146</v>
      </c>
      <c r="BK39" s="282">
        <v>128890</v>
      </c>
      <c r="BL39" s="278">
        <v>33839</v>
      </c>
      <c r="BM39" s="278">
        <v>5608</v>
      </c>
      <c r="BN39" s="278">
        <v>3469</v>
      </c>
      <c r="BO39" s="277">
        <v>42916</v>
      </c>
      <c r="BP39" s="237">
        <v>146993</v>
      </c>
      <c r="BQ39" s="278">
        <v>37051</v>
      </c>
      <c r="BR39" s="282">
        <v>184044</v>
      </c>
    </row>
  </sheetData>
  <mergeCells count="60">
    <mergeCell ref="BR5:BR6"/>
    <mergeCell ref="AQ6:AR6"/>
    <mergeCell ref="AS6:AT6"/>
    <mergeCell ref="AU6:AV6"/>
    <mergeCell ref="AY6:AZ6"/>
    <mergeCell ref="BI6:BJ6"/>
    <mergeCell ref="BL5:BL6"/>
    <mergeCell ref="BM5:BM6"/>
    <mergeCell ref="BN5:BN6"/>
    <mergeCell ref="BO5:BO6"/>
    <mergeCell ref="BP5:BP6"/>
    <mergeCell ref="BQ5:BQ6"/>
    <mergeCell ref="BB5:BB6"/>
    <mergeCell ref="BF5:BF6"/>
    <mergeCell ref="BG5:BG6"/>
    <mergeCell ref="BH5:BH6"/>
    <mergeCell ref="BI5:BJ5"/>
    <mergeCell ref="BK5:BK6"/>
    <mergeCell ref="BI4:BJ4"/>
    <mergeCell ref="W5:X5"/>
    <mergeCell ref="Y5:Z5"/>
    <mergeCell ref="AA5:AB5"/>
    <mergeCell ref="AC5:AD5"/>
    <mergeCell ref="AE5:AF5"/>
    <mergeCell ref="AG5:AJ5"/>
    <mergeCell ref="AP5:AP6"/>
    <mergeCell ref="AQ5:AR5"/>
    <mergeCell ref="AS5:AT5"/>
    <mergeCell ref="AE4:AF4"/>
    <mergeCell ref="AG4:AJ4"/>
    <mergeCell ref="AK4:AL5"/>
    <mergeCell ref="AM4:AN5"/>
    <mergeCell ref="BE4:BE6"/>
    <mergeCell ref="BF4:BG4"/>
    <mergeCell ref="AU5:AV5"/>
    <mergeCell ref="AX5:AX6"/>
    <mergeCell ref="AY5:AZ5"/>
    <mergeCell ref="BA5:BA6"/>
    <mergeCell ref="Y3:AB3"/>
    <mergeCell ref="AC3:AF3"/>
    <mergeCell ref="AG3:AI3"/>
    <mergeCell ref="AL3:AM3"/>
    <mergeCell ref="D4:F4"/>
    <mergeCell ref="U4:V5"/>
    <mergeCell ref="W4:X4"/>
    <mergeCell ref="Y4:Z4"/>
    <mergeCell ref="AA4:AB4"/>
    <mergeCell ref="AC4:AD4"/>
    <mergeCell ref="L3:L4"/>
    <mergeCell ref="M3:M4"/>
    <mergeCell ref="P3:P4"/>
    <mergeCell ref="Q3:Q4"/>
    <mergeCell ref="T3:T6"/>
    <mergeCell ref="U3:X3"/>
    <mergeCell ref="K3:K4"/>
    <mergeCell ref="B3:B4"/>
    <mergeCell ref="C3:C4"/>
    <mergeCell ref="D3:F3"/>
    <mergeCell ref="G3:G4"/>
    <mergeCell ref="H3:H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4E6A9-E68C-4B6F-AE10-B8EBC8CBB9E1}">
  <dimension ref="A1:T133"/>
  <sheetViews>
    <sheetView workbookViewId="0">
      <selection sqref="A1:XFD1048576"/>
    </sheetView>
  </sheetViews>
  <sheetFormatPr defaultRowHeight="15" x14ac:dyDescent="0.25"/>
  <cols>
    <col min="1" max="1" width="2.85546875" style="420" customWidth="1"/>
    <col min="2" max="2" width="9.140625" style="420"/>
    <col min="3" max="3" width="28" style="420" customWidth="1"/>
    <col min="4" max="5" width="11.42578125" style="420" customWidth="1"/>
    <col min="6" max="6" width="11" style="420" customWidth="1"/>
    <col min="7" max="7" width="9.5703125" style="420" customWidth="1"/>
    <col min="8" max="9" width="11" style="420" customWidth="1"/>
    <col min="10" max="10" width="5.7109375" style="439" customWidth="1"/>
    <col min="11" max="11" width="27.140625" style="439" customWidth="1"/>
    <col min="12" max="12" width="21" style="809" customWidth="1"/>
    <col min="13" max="13" width="14.42578125" style="809" customWidth="1"/>
    <col min="14" max="14" width="12.140625" style="809" customWidth="1"/>
    <col min="15" max="15" width="14.7109375" style="420" customWidth="1"/>
    <col min="16" max="16" width="14.5703125" style="439" customWidth="1"/>
    <col min="17" max="17" width="16.42578125" style="439" customWidth="1"/>
    <col min="18" max="18" width="11" style="439" customWidth="1"/>
    <col min="19" max="19" width="13.5703125" style="439" customWidth="1"/>
    <col min="20" max="20" width="3.28515625" style="439" customWidth="1"/>
    <col min="21" max="16384" width="9.140625" style="420"/>
  </cols>
  <sheetData>
    <row r="1" spans="1:20" s="439" customFormat="1" ht="21.75" customHeight="1" x14ac:dyDescent="0.25">
      <c r="A1" s="407" t="s">
        <v>224</v>
      </c>
      <c r="B1" s="408"/>
      <c r="C1" s="408"/>
      <c r="D1" s="409"/>
      <c r="E1" s="410"/>
      <c r="F1" s="411"/>
      <c r="G1" s="409"/>
      <c r="H1" s="410" t="s">
        <v>36</v>
      </c>
      <c r="I1" s="406"/>
      <c r="J1" s="406"/>
      <c r="K1" s="406"/>
      <c r="L1" s="406"/>
      <c r="M1" s="409"/>
      <c r="N1" s="409" t="s">
        <v>225</v>
      </c>
      <c r="O1" s="406"/>
      <c r="P1" s="409"/>
      <c r="Q1" s="406"/>
      <c r="R1" s="406"/>
      <c r="S1" s="406"/>
      <c r="T1" s="406"/>
    </row>
    <row r="2" spans="1:20" ht="7.5" customHeight="1" x14ac:dyDescent="0.25">
      <c r="A2" s="288"/>
      <c r="B2" s="288"/>
      <c r="C2" s="288"/>
      <c r="D2" s="288"/>
      <c r="E2" s="288"/>
      <c r="F2" s="288"/>
      <c r="G2" s="437"/>
      <c r="H2" s="437"/>
      <c r="I2" s="437"/>
      <c r="J2" s="325"/>
      <c r="K2" s="325"/>
      <c r="L2" s="306"/>
      <c r="M2" s="306"/>
      <c r="N2" s="306"/>
      <c r="O2" s="437"/>
      <c r="P2" s="325"/>
      <c r="Q2" s="325"/>
      <c r="R2" s="325"/>
      <c r="S2" s="325"/>
      <c r="T2" s="325"/>
    </row>
    <row r="3" spans="1:20" x14ac:dyDescent="0.25">
      <c r="A3" s="288"/>
      <c r="B3" s="288"/>
      <c r="C3" s="288"/>
      <c r="D3" s="288"/>
      <c r="E3" s="288"/>
      <c r="F3" s="288"/>
      <c r="L3" s="306"/>
      <c r="M3" s="412" t="s">
        <v>38</v>
      </c>
      <c r="N3" s="413"/>
      <c r="O3" s="414"/>
      <c r="P3" s="414"/>
      <c r="Q3" s="414"/>
      <c r="R3" s="414"/>
      <c r="S3" s="415"/>
      <c r="T3" s="325"/>
    </row>
    <row r="4" spans="1:20" x14ac:dyDescent="0.25">
      <c r="A4" s="288"/>
      <c r="B4" s="288"/>
      <c r="C4" s="288"/>
      <c r="D4" s="288"/>
      <c r="E4" s="288"/>
      <c r="F4" s="288"/>
      <c r="L4" s="306"/>
      <c r="M4" s="416"/>
      <c r="N4" s="417"/>
      <c r="O4" s="417"/>
      <c r="P4" s="418" t="s">
        <v>39</v>
      </c>
      <c r="Q4" s="418" t="s">
        <v>40</v>
      </c>
      <c r="R4" s="418" t="s">
        <v>41</v>
      </c>
      <c r="S4" s="419" t="s">
        <v>42</v>
      </c>
      <c r="T4" s="325"/>
    </row>
    <row r="5" spans="1:20" x14ac:dyDescent="0.25">
      <c r="A5" s="288"/>
      <c r="B5" s="288"/>
      <c r="C5" s="288"/>
      <c r="D5" s="288"/>
      <c r="E5" s="288"/>
      <c r="F5" s="288"/>
      <c r="L5" s="306"/>
      <c r="M5" s="491" t="s">
        <v>43</v>
      </c>
      <c r="N5" s="492"/>
      <c r="O5" s="493"/>
      <c r="P5" s="494">
        <f>M106</f>
        <v>106900</v>
      </c>
      <c r="Q5" s="494">
        <f>M107</f>
        <v>27900</v>
      </c>
      <c r="R5" s="494">
        <f>M108</f>
        <v>79000</v>
      </c>
      <c r="S5" s="495">
        <f>M109</f>
        <v>0.73900841908325543</v>
      </c>
      <c r="T5" s="325"/>
    </row>
    <row r="6" spans="1:20" x14ac:dyDescent="0.25">
      <c r="A6" s="288"/>
      <c r="B6" s="288"/>
      <c r="C6" s="288"/>
      <c r="D6" s="288"/>
      <c r="E6" s="288"/>
      <c r="F6" s="288"/>
      <c r="L6" s="306"/>
      <c r="M6" s="496" t="s">
        <v>226</v>
      </c>
      <c r="N6" s="497"/>
      <c r="O6" s="498"/>
      <c r="P6" s="499">
        <f>M110</f>
        <v>72900</v>
      </c>
      <c r="Q6" s="499">
        <f>M111</f>
        <v>17300</v>
      </c>
      <c r="R6" s="499">
        <f>M112</f>
        <v>55600</v>
      </c>
      <c r="S6" s="500">
        <f>M113</f>
        <v>0.76268861454046644</v>
      </c>
      <c r="T6" s="325"/>
    </row>
    <row r="7" spans="1:20" x14ac:dyDescent="0.25">
      <c r="A7" s="288"/>
      <c r="B7" s="288"/>
      <c r="C7" s="288"/>
      <c r="D7" s="288"/>
      <c r="E7" s="288"/>
      <c r="F7" s="288"/>
      <c r="L7" s="306"/>
      <c r="M7" s="496" t="s">
        <v>45</v>
      </c>
      <c r="N7" s="497"/>
      <c r="O7" s="498"/>
      <c r="P7" s="499"/>
      <c r="Q7" s="499"/>
      <c r="R7" s="499"/>
      <c r="S7" s="500"/>
      <c r="T7" s="325"/>
    </row>
    <row r="8" spans="1:20" x14ac:dyDescent="0.25">
      <c r="A8" s="288"/>
      <c r="B8" s="288"/>
      <c r="C8" s="288"/>
      <c r="D8" s="288"/>
      <c r="E8" s="288"/>
      <c r="F8" s="288"/>
      <c r="L8" s="306"/>
      <c r="M8" s="496" t="s">
        <v>46</v>
      </c>
      <c r="N8" s="497"/>
      <c r="O8" s="498"/>
      <c r="P8" s="501"/>
      <c r="Q8" s="499"/>
      <c r="R8" s="501"/>
      <c r="S8" s="502"/>
      <c r="T8" s="325"/>
    </row>
    <row r="9" spans="1:20" x14ac:dyDescent="0.25">
      <c r="A9" s="288"/>
      <c r="B9" s="288"/>
      <c r="C9" s="288"/>
      <c r="D9" s="288"/>
      <c r="E9" s="288"/>
      <c r="F9" s="288"/>
      <c r="L9" s="306"/>
      <c r="M9" s="503" t="s">
        <v>227</v>
      </c>
      <c r="N9" s="504"/>
      <c r="O9" s="505"/>
      <c r="P9" s="506"/>
      <c r="Q9" s="506"/>
      <c r="R9" s="506"/>
      <c r="S9" s="507"/>
      <c r="T9" s="325"/>
    </row>
    <row r="10" spans="1:20" x14ac:dyDescent="0.25">
      <c r="A10" s="288"/>
      <c r="B10" s="288"/>
      <c r="C10" s="288"/>
      <c r="D10" s="288"/>
      <c r="E10" s="288"/>
      <c r="F10" s="288"/>
      <c r="L10" s="306"/>
      <c r="M10" s="306"/>
      <c r="N10" s="306"/>
      <c r="O10" s="437"/>
      <c r="P10" s="325"/>
      <c r="Q10" s="325"/>
      <c r="R10" s="325"/>
      <c r="S10" s="325"/>
      <c r="T10" s="325"/>
    </row>
    <row r="11" spans="1:20" x14ac:dyDescent="0.25">
      <c r="A11" s="288"/>
      <c r="B11" s="288"/>
      <c r="C11" s="288"/>
      <c r="D11" s="288"/>
      <c r="E11" s="288"/>
      <c r="F11" s="288"/>
      <c r="L11" s="306"/>
      <c r="M11" s="306"/>
      <c r="N11" s="306"/>
      <c r="O11" s="437"/>
      <c r="P11" s="325"/>
      <c r="Q11" s="325"/>
      <c r="R11" s="325"/>
      <c r="S11" s="325"/>
      <c r="T11" s="325"/>
    </row>
    <row r="12" spans="1:20" x14ac:dyDescent="0.25">
      <c r="A12" s="288"/>
      <c r="B12" s="288"/>
      <c r="C12" s="288"/>
      <c r="D12" s="288"/>
      <c r="E12" s="288"/>
      <c r="F12" s="288"/>
      <c r="L12" s="306"/>
      <c r="M12" s="306"/>
      <c r="N12" s="306"/>
      <c r="O12" s="437"/>
      <c r="P12" s="325"/>
      <c r="Q12" s="325"/>
      <c r="R12" s="325"/>
      <c r="S12" s="325"/>
      <c r="T12" s="325"/>
    </row>
    <row r="13" spans="1:20" ht="15" customHeight="1" x14ac:dyDescent="0.25">
      <c r="A13" s="288"/>
      <c r="B13" s="288"/>
      <c r="C13" s="288"/>
      <c r="D13" s="288"/>
      <c r="E13" s="288"/>
      <c r="F13" s="288"/>
      <c r="L13" s="306"/>
      <c r="M13" s="306"/>
      <c r="N13" s="306"/>
      <c r="O13" s="437"/>
      <c r="P13" s="325"/>
      <c r="Q13" s="325"/>
      <c r="R13" s="325"/>
      <c r="S13" s="325"/>
      <c r="T13" s="325"/>
    </row>
    <row r="14" spans="1:20" x14ac:dyDescent="0.25">
      <c r="A14" s="288"/>
      <c r="B14" s="288"/>
      <c r="C14" s="288"/>
      <c r="D14" s="288"/>
      <c r="E14" s="288"/>
      <c r="F14" s="288"/>
      <c r="L14" s="306"/>
      <c r="M14" s="306"/>
      <c r="N14" s="306"/>
      <c r="O14" s="437"/>
      <c r="P14" s="325"/>
      <c r="Q14" s="325"/>
      <c r="R14" s="325"/>
      <c r="S14" s="325"/>
      <c r="T14" s="325"/>
    </row>
    <row r="15" spans="1:20" x14ac:dyDescent="0.25">
      <c r="A15" s="288"/>
      <c r="B15" s="288"/>
      <c r="C15" s="288"/>
      <c r="D15" s="288"/>
      <c r="E15" s="288"/>
      <c r="F15" s="288"/>
      <c r="L15" s="306"/>
      <c r="M15" s="306"/>
      <c r="N15" s="306"/>
      <c r="O15" s="437"/>
      <c r="P15" s="325"/>
      <c r="Q15" s="325"/>
      <c r="R15" s="325"/>
      <c r="S15" s="325"/>
      <c r="T15" s="325"/>
    </row>
    <row r="16" spans="1:20" x14ac:dyDescent="0.25">
      <c r="A16" s="288"/>
      <c r="B16" s="288"/>
      <c r="C16" s="288"/>
      <c r="D16" s="288"/>
      <c r="E16" s="288"/>
      <c r="F16" s="288"/>
      <c r="L16" s="306"/>
      <c r="M16" s="306"/>
      <c r="N16" s="306"/>
      <c r="O16" s="437"/>
      <c r="P16" s="325"/>
      <c r="Q16" s="325"/>
      <c r="R16" s="325"/>
      <c r="S16" s="325"/>
      <c r="T16" s="325"/>
    </row>
    <row r="17" spans="1:20" x14ac:dyDescent="0.25">
      <c r="A17" s="288"/>
      <c r="B17" s="288"/>
      <c r="C17" s="288"/>
      <c r="D17" s="288"/>
      <c r="E17" s="288"/>
      <c r="F17" s="288"/>
      <c r="L17" s="306"/>
      <c r="M17" s="306"/>
      <c r="N17" s="306"/>
      <c r="O17" s="437"/>
      <c r="P17" s="325"/>
      <c r="Q17" s="325"/>
      <c r="R17" s="325"/>
      <c r="S17" s="325"/>
      <c r="T17" s="325"/>
    </row>
    <row r="18" spans="1:20" x14ac:dyDescent="0.25">
      <c r="A18" s="288"/>
      <c r="B18" s="288"/>
      <c r="C18" s="288"/>
      <c r="D18" s="288"/>
      <c r="E18" s="288"/>
      <c r="F18" s="288"/>
      <c r="G18" s="437"/>
      <c r="H18" s="437"/>
      <c r="I18" s="437"/>
      <c r="J18" s="325"/>
      <c r="K18" s="325"/>
      <c r="L18" s="306"/>
      <c r="M18" s="306"/>
      <c r="N18" s="306"/>
      <c r="O18" s="437"/>
      <c r="P18" s="325"/>
      <c r="Q18" s="325"/>
      <c r="R18" s="325"/>
      <c r="S18" s="325"/>
      <c r="T18" s="325"/>
    </row>
    <row r="19" spans="1:20" x14ac:dyDescent="0.25">
      <c r="A19" s="288"/>
      <c r="B19" s="288"/>
      <c r="C19" s="288"/>
      <c r="D19" s="288"/>
      <c r="E19" s="288"/>
      <c r="F19" s="288"/>
      <c r="G19" s="437"/>
      <c r="H19" s="437"/>
      <c r="I19" s="437"/>
      <c r="J19" s="325"/>
      <c r="K19" s="325"/>
      <c r="L19" s="306"/>
      <c r="M19" s="306"/>
      <c r="N19" s="306"/>
      <c r="O19" s="437"/>
      <c r="P19" s="325"/>
      <c r="Q19" s="325"/>
      <c r="R19" s="325"/>
      <c r="S19" s="325"/>
      <c r="T19" s="325"/>
    </row>
    <row r="20" spans="1:20" x14ac:dyDescent="0.25">
      <c r="A20" s="288"/>
      <c r="B20" s="288"/>
      <c r="C20" s="288"/>
      <c r="D20" s="288"/>
      <c r="E20" s="288"/>
      <c r="F20" s="288"/>
      <c r="G20" s="437"/>
      <c r="H20" s="437"/>
      <c r="I20" s="437"/>
      <c r="J20" s="325"/>
      <c r="K20" s="325"/>
      <c r="L20" s="306"/>
      <c r="M20" s="306"/>
      <c r="N20" s="306"/>
      <c r="O20" s="437"/>
      <c r="P20" s="325"/>
      <c r="Q20" s="325"/>
      <c r="R20" s="325"/>
      <c r="S20" s="325"/>
      <c r="T20" s="325"/>
    </row>
    <row r="21" spans="1:20" x14ac:dyDescent="0.25">
      <c r="A21" s="288"/>
      <c r="B21" s="288"/>
      <c r="C21" s="288"/>
      <c r="D21" s="288"/>
      <c r="E21" s="288"/>
      <c r="F21" s="288"/>
      <c r="G21" s="437"/>
      <c r="H21" s="437"/>
      <c r="I21" s="437"/>
      <c r="J21" s="325"/>
      <c r="K21" s="325"/>
      <c r="L21" s="306"/>
      <c r="M21" s="306"/>
      <c r="N21" s="306"/>
      <c r="O21" s="437"/>
      <c r="P21" s="325"/>
      <c r="Q21" s="325"/>
      <c r="R21" s="325"/>
      <c r="S21" s="325"/>
      <c r="T21" s="325"/>
    </row>
    <row r="22" spans="1:20" x14ac:dyDescent="0.25">
      <c r="A22" s="288"/>
      <c r="B22" s="288"/>
      <c r="C22" s="288"/>
      <c r="D22" s="288"/>
      <c r="E22" s="288"/>
      <c r="F22" s="288"/>
      <c r="G22" s="437"/>
      <c r="H22" s="437"/>
      <c r="I22" s="437"/>
      <c r="J22" s="325"/>
      <c r="K22" s="325"/>
      <c r="L22" s="306"/>
      <c r="M22" s="306"/>
      <c r="N22" s="306"/>
      <c r="O22" s="437"/>
      <c r="P22" s="325"/>
      <c r="Q22" s="325"/>
      <c r="R22" s="325"/>
      <c r="S22" s="325"/>
      <c r="T22" s="325"/>
    </row>
    <row r="23" spans="1:20" x14ac:dyDescent="0.25">
      <c r="A23" s="288"/>
      <c r="B23" s="288"/>
      <c r="C23" s="288"/>
      <c r="D23" s="288"/>
      <c r="E23" s="288"/>
      <c r="F23" s="288"/>
      <c r="G23" s="437"/>
      <c r="H23" s="437"/>
      <c r="I23" s="437"/>
      <c r="J23" s="325"/>
      <c r="K23" s="325"/>
      <c r="L23" s="306"/>
      <c r="M23" s="306"/>
      <c r="N23" s="306"/>
      <c r="O23" s="437"/>
      <c r="P23" s="325"/>
      <c r="Q23" s="325"/>
      <c r="R23" s="325"/>
      <c r="S23" s="325"/>
      <c r="T23" s="325"/>
    </row>
    <row r="24" spans="1:20" x14ac:dyDescent="0.25">
      <c r="A24" s="288"/>
      <c r="B24" s="288"/>
      <c r="C24" s="288"/>
      <c r="D24" s="288"/>
      <c r="E24" s="288"/>
      <c r="F24" s="288"/>
      <c r="G24" s="437"/>
      <c r="H24" s="437"/>
      <c r="I24" s="437"/>
      <c r="J24" s="325"/>
      <c r="K24" s="325"/>
      <c r="L24" s="306"/>
      <c r="M24" s="306"/>
      <c r="N24" s="306"/>
      <c r="O24" s="437"/>
      <c r="P24" s="325"/>
      <c r="Q24" s="325"/>
      <c r="R24" s="325"/>
      <c r="S24" s="325"/>
      <c r="T24" s="325"/>
    </row>
    <row r="25" spans="1:20" x14ac:dyDescent="0.25">
      <c r="A25" s="288"/>
      <c r="B25" s="288"/>
      <c r="C25" s="288"/>
      <c r="D25" s="288"/>
      <c r="E25" s="288"/>
      <c r="F25" s="288"/>
      <c r="G25" s="437"/>
      <c r="H25" s="437"/>
      <c r="I25" s="437"/>
      <c r="J25" s="325"/>
      <c r="K25" s="325"/>
      <c r="L25" s="306"/>
      <c r="M25" s="306"/>
      <c r="N25" s="306"/>
      <c r="O25" s="437"/>
      <c r="P25" s="325"/>
      <c r="Q25" s="325"/>
      <c r="R25" s="325"/>
      <c r="S25" s="325"/>
      <c r="T25" s="325"/>
    </row>
    <row r="26" spans="1:20" x14ac:dyDescent="0.25">
      <c r="A26" s="288"/>
      <c r="B26" s="288"/>
      <c r="C26" s="288"/>
      <c r="D26" s="288"/>
      <c r="E26" s="288"/>
      <c r="F26" s="288"/>
      <c r="G26" s="437"/>
      <c r="H26" s="437"/>
      <c r="I26" s="437"/>
      <c r="J26" s="325"/>
      <c r="K26" s="325"/>
      <c r="L26" s="306"/>
      <c r="M26" s="306"/>
      <c r="N26" s="306"/>
      <c r="O26" s="437"/>
      <c r="P26" s="325"/>
      <c r="Q26" s="325"/>
      <c r="R26" s="325"/>
      <c r="S26" s="325"/>
      <c r="T26" s="325"/>
    </row>
    <row r="27" spans="1:20" x14ac:dyDescent="0.25">
      <c r="A27" s="288"/>
      <c r="B27" s="288"/>
      <c r="C27" s="288"/>
      <c r="D27" s="288"/>
      <c r="E27" s="288"/>
      <c r="F27" s="288"/>
      <c r="G27" s="437"/>
      <c r="H27" s="437"/>
      <c r="I27" s="437"/>
      <c r="J27" s="325"/>
      <c r="K27" s="325"/>
      <c r="L27" s="306"/>
      <c r="M27" s="306"/>
      <c r="N27" s="306"/>
      <c r="O27" s="437"/>
      <c r="P27" s="325"/>
      <c r="Q27" s="325"/>
      <c r="R27" s="325"/>
      <c r="S27" s="325"/>
      <c r="T27" s="325"/>
    </row>
    <row r="28" spans="1:20" x14ac:dyDescent="0.25">
      <c r="A28" s="288"/>
      <c r="B28" s="288"/>
      <c r="C28" s="288"/>
      <c r="D28" s="288"/>
      <c r="E28" s="288"/>
      <c r="F28" s="288"/>
      <c r="G28" s="437"/>
      <c r="H28" s="437"/>
      <c r="I28" s="437"/>
      <c r="J28" s="325"/>
      <c r="K28" s="325"/>
      <c r="L28" s="306"/>
      <c r="M28" s="306"/>
      <c r="N28" s="306"/>
      <c r="O28" s="437"/>
      <c r="P28" s="325"/>
      <c r="Q28" s="325"/>
      <c r="R28" s="325"/>
      <c r="S28" s="325"/>
      <c r="T28" s="325"/>
    </row>
    <row r="29" spans="1:20" x14ac:dyDescent="0.25">
      <c r="A29" s="288"/>
      <c r="B29" s="288"/>
      <c r="C29" s="288"/>
      <c r="D29" s="288"/>
      <c r="E29" s="288"/>
      <c r="F29" s="288"/>
      <c r="G29" s="437"/>
      <c r="H29" s="437"/>
      <c r="I29" s="437"/>
      <c r="J29" s="325"/>
      <c r="K29" s="325"/>
      <c r="L29" s="306"/>
      <c r="M29" s="306"/>
      <c r="N29" s="306"/>
      <c r="O29" s="437"/>
      <c r="P29" s="325"/>
      <c r="Q29" s="325"/>
      <c r="R29" s="325"/>
      <c r="S29" s="325"/>
      <c r="T29" s="325"/>
    </row>
    <row r="30" spans="1:20" x14ac:dyDescent="0.25">
      <c r="A30" s="288"/>
      <c r="B30" s="288"/>
      <c r="C30" s="288"/>
      <c r="D30" s="288"/>
      <c r="E30" s="288"/>
      <c r="F30" s="288"/>
      <c r="G30" s="437"/>
      <c r="H30" s="437"/>
      <c r="I30" s="437"/>
      <c r="J30" s="325"/>
      <c r="K30" s="325"/>
      <c r="L30" s="306"/>
      <c r="M30" s="306"/>
      <c r="N30" s="306"/>
      <c r="O30" s="437"/>
      <c r="P30" s="325"/>
      <c r="Q30" s="325"/>
      <c r="R30" s="325"/>
      <c r="S30" s="325"/>
      <c r="T30" s="325"/>
    </row>
    <row r="31" spans="1:20" x14ac:dyDescent="0.25">
      <c r="A31" s="288"/>
      <c r="B31" s="288"/>
      <c r="C31" s="288"/>
      <c r="D31" s="288"/>
      <c r="E31" s="288"/>
      <c r="F31" s="288"/>
      <c r="G31" s="437"/>
      <c r="H31" s="437"/>
      <c r="I31" s="437"/>
      <c r="J31" s="325"/>
      <c r="K31" s="325"/>
      <c r="L31" s="306"/>
      <c r="M31" s="306"/>
      <c r="N31" s="306"/>
      <c r="O31" s="437"/>
      <c r="P31" s="325"/>
      <c r="Q31" s="325"/>
      <c r="R31" s="325"/>
      <c r="S31" s="325"/>
      <c r="T31" s="325"/>
    </row>
    <row r="32" spans="1:20" x14ac:dyDescent="0.25">
      <c r="A32" s="288"/>
      <c r="B32" s="288"/>
      <c r="C32" s="288"/>
      <c r="D32" s="288"/>
      <c r="E32" s="288"/>
      <c r="F32" s="288"/>
      <c r="G32" s="437"/>
      <c r="H32" s="437"/>
      <c r="I32" s="437"/>
      <c r="J32" s="325"/>
      <c r="K32" s="325"/>
      <c r="L32" s="306"/>
      <c r="M32" s="306"/>
      <c r="N32" s="306"/>
      <c r="O32" s="437"/>
      <c r="P32" s="325"/>
      <c r="Q32" s="325"/>
      <c r="R32" s="325"/>
      <c r="S32" s="325"/>
      <c r="T32" s="325"/>
    </row>
    <row r="33" spans="1:20" x14ac:dyDescent="0.25">
      <c r="A33" s="288"/>
      <c r="B33" s="288"/>
      <c r="C33" s="288"/>
      <c r="D33" s="288"/>
      <c r="E33" s="288"/>
      <c r="F33" s="288"/>
      <c r="G33" s="437"/>
      <c r="H33" s="437"/>
      <c r="I33" s="437"/>
      <c r="J33" s="325"/>
      <c r="K33" s="325"/>
      <c r="L33" s="306"/>
      <c r="M33" s="306"/>
      <c r="N33" s="306"/>
      <c r="O33" s="437"/>
      <c r="P33" s="325"/>
      <c r="Q33" s="325"/>
      <c r="R33" s="325"/>
      <c r="S33" s="325"/>
      <c r="T33" s="325"/>
    </row>
    <row r="34" spans="1:20" x14ac:dyDescent="0.25">
      <c r="A34" s="288"/>
      <c r="B34" s="288"/>
      <c r="C34" s="288"/>
      <c r="D34" s="288"/>
      <c r="E34" s="288"/>
      <c r="F34" s="288"/>
      <c r="G34" s="437"/>
      <c r="H34" s="437"/>
      <c r="I34" s="437"/>
      <c r="J34" s="325"/>
      <c r="K34" s="325"/>
      <c r="L34" s="306"/>
      <c r="M34" s="306"/>
      <c r="N34" s="306"/>
      <c r="O34" s="437"/>
      <c r="P34" s="325"/>
      <c r="Q34" s="325"/>
      <c r="R34" s="325"/>
      <c r="S34" s="325"/>
      <c r="T34" s="325"/>
    </row>
    <row r="35" spans="1:20" x14ac:dyDescent="0.25">
      <c r="A35" s="288"/>
      <c r="B35" s="288"/>
      <c r="C35" s="288"/>
      <c r="D35" s="288"/>
      <c r="E35" s="288"/>
      <c r="F35" s="288"/>
      <c r="G35" s="437"/>
      <c r="H35" s="437"/>
      <c r="I35" s="437"/>
      <c r="J35" s="325"/>
      <c r="K35" s="325"/>
      <c r="L35" s="306"/>
      <c r="M35" s="306"/>
      <c r="N35" s="306"/>
      <c r="O35" s="437"/>
      <c r="P35" s="325"/>
      <c r="Q35" s="325"/>
      <c r="R35" s="325"/>
      <c r="S35" s="325"/>
      <c r="T35" s="325"/>
    </row>
    <row r="36" spans="1:20" x14ac:dyDescent="0.25">
      <c r="A36" s="288"/>
      <c r="B36" s="288"/>
      <c r="C36" s="288"/>
      <c r="D36" s="288"/>
      <c r="E36" s="288"/>
      <c r="F36" s="288"/>
      <c r="G36" s="437"/>
      <c r="H36" s="437"/>
      <c r="I36" s="437"/>
      <c r="J36" s="325"/>
      <c r="K36" s="325"/>
      <c r="L36" s="306"/>
      <c r="M36" s="306"/>
      <c r="N36" s="306"/>
      <c r="O36" s="437"/>
      <c r="P36" s="325"/>
      <c r="Q36" s="325"/>
      <c r="R36" s="325"/>
      <c r="S36" s="325"/>
      <c r="T36" s="325"/>
    </row>
    <row r="37" spans="1:20" x14ac:dyDescent="0.25">
      <c r="A37" s="288"/>
      <c r="B37" s="288"/>
      <c r="C37" s="288"/>
      <c r="D37" s="288"/>
      <c r="E37" s="288"/>
      <c r="F37" s="288"/>
      <c r="G37" s="437"/>
      <c r="H37" s="437"/>
      <c r="I37" s="437"/>
      <c r="J37" s="325"/>
      <c r="K37" s="325"/>
      <c r="L37" s="306"/>
      <c r="M37" s="306"/>
      <c r="N37" s="306"/>
      <c r="O37" s="437"/>
      <c r="P37" s="325"/>
      <c r="Q37" s="325"/>
      <c r="R37" s="325"/>
      <c r="S37" s="325"/>
      <c r="T37" s="325"/>
    </row>
    <row r="38" spans="1:20" x14ac:dyDescent="0.25">
      <c r="A38" s="288"/>
      <c r="B38" s="288"/>
      <c r="C38" s="288"/>
      <c r="D38" s="288"/>
      <c r="E38" s="288"/>
      <c r="F38" s="288"/>
      <c r="G38" s="437"/>
      <c r="H38" s="437"/>
      <c r="I38" s="437"/>
      <c r="J38" s="325"/>
      <c r="K38" s="325"/>
      <c r="L38" s="306"/>
      <c r="M38" s="306"/>
      <c r="N38" s="306"/>
      <c r="O38" s="437"/>
      <c r="P38" s="325"/>
      <c r="Q38" s="325"/>
      <c r="R38" s="325"/>
      <c r="S38" s="325"/>
      <c r="T38" s="325"/>
    </row>
    <row r="39" spans="1:20" x14ac:dyDescent="0.25">
      <c r="A39" s="288"/>
      <c r="B39" s="288"/>
      <c r="C39" s="288"/>
      <c r="D39" s="288"/>
      <c r="E39" s="288"/>
      <c r="F39" s="288"/>
      <c r="G39" s="437"/>
      <c r="H39" s="437"/>
      <c r="I39" s="437"/>
      <c r="J39" s="325"/>
      <c r="K39" s="325"/>
      <c r="L39" s="306"/>
      <c r="M39" s="306"/>
      <c r="N39" s="306"/>
      <c r="O39" s="437"/>
      <c r="P39" s="325"/>
      <c r="Q39" s="325"/>
      <c r="R39" s="325"/>
      <c r="S39" s="325"/>
      <c r="T39" s="325"/>
    </row>
    <row r="40" spans="1:20" x14ac:dyDescent="0.25">
      <c r="A40" s="288"/>
      <c r="B40" s="288"/>
      <c r="C40" s="288"/>
      <c r="D40" s="288"/>
      <c r="E40" s="288"/>
      <c r="F40" s="288"/>
      <c r="G40" s="437"/>
      <c r="H40" s="437"/>
      <c r="I40" s="437"/>
      <c r="J40" s="325"/>
      <c r="K40" s="325"/>
      <c r="L40" s="306"/>
      <c r="M40" s="306"/>
      <c r="N40" s="306"/>
      <c r="O40" s="437"/>
      <c r="P40" s="325"/>
      <c r="Q40" s="325"/>
      <c r="R40" s="325"/>
      <c r="S40" s="325"/>
      <c r="T40" s="325"/>
    </row>
    <row r="41" spans="1:20" x14ac:dyDescent="0.25">
      <c r="A41" s="288"/>
      <c r="B41" s="288"/>
      <c r="C41" s="288"/>
      <c r="D41" s="288"/>
      <c r="E41" s="288"/>
      <c r="F41" s="288"/>
      <c r="G41" s="437"/>
      <c r="H41" s="437"/>
      <c r="I41" s="437"/>
      <c r="J41" s="325"/>
      <c r="K41" s="325"/>
      <c r="L41" s="306"/>
      <c r="M41" s="306"/>
      <c r="N41" s="306"/>
      <c r="O41" s="437"/>
      <c r="P41" s="325"/>
      <c r="Q41" s="325"/>
      <c r="R41" s="325"/>
      <c r="S41" s="325"/>
      <c r="T41" s="325"/>
    </row>
    <row r="42" spans="1:20" x14ac:dyDescent="0.25">
      <c r="A42" s="288"/>
      <c r="B42" s="288"/>
      <c r="C42" s="288"/>
      <c r="D42" s="288"/>
      <c r="E42" s="288"/>
      <c r="F42" s="288"/>
      <c r="G42" s="437"/>
      <c r="H42" s="437"/>
      <c r="I42" s="437"/>
      <c r="J42" s="325"/>
      <c r="K42" s="325"/>
      <c r="L42" s="306"/>
      <c r="M42" s="306"/>
      <c r="N42" s="306"/>
      <c r="O42" s="437"/>
      <c r="P42" s="325"/>
      <c r="Q42" s="325"/>
      <c r="R42" s="325"/>
      <c r="S42" s="325"/>
      <c r="T42" s="325"/>
    </row>
    <row r="43" spans="1:20" x14ac:dyDescent="0.25">
      <c r="A43" s="288"/>
      <c r="B43" s="288"/>
      <c r="C43" s="288"/>
      <c r="D43" s="288"/>
      <c r="E43" s="288"/>
      <c r="F43" s="288"/>
      <c r="G43" s="437"/>
      <c r="H43" s="437"/>
      <c r="I43" s="437"/>
      <c r="J43" s="325"/>
      <c r="K43" s="325"/>
      <c r="L43" s="306"/>
      <c r="M43" s="306"/>
      <c r="N43" s="306"/>
      <c r="O43" s="437"/>
      <c r="P43" s="325"/>
      <c r="Q43" s="325"/>
      <c r="R43" s="325"/>
      <c r="S43" s="325"/>
      <c r="T43" s="325"/>
    </row>
    <row r="44" spans="1:20" x14ac:dyDescent="0.25">
      <c r="A44" s="288"/>
      <c r="B44" s="288"/>
      <c r="C44" s="288"/>
      <c r="D44" s="288"/>
      <c r="E44" s="288"/>
      <c r="F44" s="288"/>
      <c r="G44" s="437"/>
      <c r="H44" s="437"/>
      <c r="I44" s="437"/>
      <c r="J44" s="325"/>
      <c r="K44" s="325"/>
      <c r="L44" s="306"/>
      <c r="M44" s="306"/>
      <c r="N44" s="306"/>
      <c r="O44" s="437"/>
      <c r="P44" s="325"/>
      <c r="Q44" s="325"/>
      <c r="R44" s="325"/>
      <c r="S44" s="325"/>
      <c r="T44" s="325"/>
    </row>
    <row r="45" spans="1:20" x14ac:dyDescent="0.25">
      <c r="A45" s="288"/>
      <c r="B45" s="288"/>
      <c r="C45" s="288"/>
      <c r="D45" s="288"/>
      <c r="E45" s="288"/>
      <c r="F45" s="288"/>
      <c r="G45" s="437"/>
      <c r="H45" s="437"/>
      <c r="I45" s="437"/>
      <c r="J45" s="325"/>
      <c r="K45" s="325"/>
      <c r="L45" s="306"/>
      <c r="M45" s="306"/>
      <c r="N45" s="306"/>
      <c r="O45" s="437"/>
      <c r="P45" s="325"/>
      <c r="Q45" s="325"/>
      <c r="R45" s="325"/>
      <c r="S45" s="325"/>
      <c r="T45" s="325"/>
    </row>
    <row r="46" spans="1:20" x14ac:dyDescent="0.25">
      <c r="A46" s="288"/>
      <c r="B46" s="288"/>
      <c r="C46" s="288"/>
      <c r="D46" s="288"/>
      <c r="E46" s="288"/>
      <c r="F46" s="288"/>
      <c r="G46" s="437"/>
      <c r="H46" s="437"/>
      <c r="I46" s="437"/>
      <c r="J46" s="325"/>
      <c r="K46" s="325"/>
      <c r="L46" s="306"/>
      <c r="M46" s="306"/>
      <c r="N46" s="306"/>
      <c r="O46" s="437"/>
      <c r="P46" s="325"/>
      <c r="Q46" s="325"/>
      <c r="R46" s="325"/>
      <c r="S46" s="325"/>
      <c r="T46" s="325"/>
    </row>
    <row r="47" spans="1:20" x14ac:dyDescent="0.25">
      <c r="A47" s="288"/>
      <c r="B47" s="288"/>
      <c r="C47" s="288"/>
      <c r="D47" s="288"/>
      <c r="E47" s="288"/>
      <c r="F47" s="288"/>
      <c r="G47" s="437"/>
      <c r="H47" s="437"/>
      <c r="I47" s="437"/>
      <c r="J47" s="325"/>
      <c r="K47" s="325"/>
      <c r="L47" s="306"/>
      <c r="M47" s="306"/>
      <c r="N47" s="306"/>
      <c r="O47" s="437"/>
      <c r="P47" s="325"/>
      <c r="Q47" s="325"/>
      <c r="R47" s="325"/>
      <c r="S47" s="325"/>
      <c r="T47" s="325"/>
    </row>
    <row r="48" spans="1:20" x14ac:dyDescent="0.25">
      <c r="A48" s="288"/>
      <c r="B48" s="288"/>
      <c r="C48" s="288"/>
      <c r="D48" s="288"/>
      <c r="E48" s="288"/>
      <c r="F48" s="288"/>
      <c r="G48" s="437"/>
      <c r="H48" s="437"/>
      <c r="I48" s="437"/>
      <c r="J48" s="325"/>
      <c r="K48" s="325"/>
      <c r="L48" s="306"/>
      <c r="M48" s="306"/>
      <c r="N48" s="306"/>
      <c r="O48" s="437"/>
      <c r="P48" s="325"/>
      <c r="Q48" s="325"/>
      <c r="R48" s="325"/>
      <c r="S48" s="325"/>
      <c r="T48" s="325"/>
    </row>
    <row r="49" spans="1:20" x14ac:dyDescent="0.25">
      <c r="A49" s="288"/>
      <c r="B49" s="288"/>
      <c r="C49" s="288"/>
      <c r="D49" s="288"/>
      <c r="E49" s="288"/>
      <c r="F49" s="288"/>
      <c r="G49" s="437"/>
      <c r="H49" s="437"/>
      <c r="I49" s="437"/>
      <c r="J49" s="325"/>
      <c r="K49" s="325"/>
      <c r="L49" s="306"/>
      <c r="M49" s="306"/>
      <c r="N49" s="306"/>
      <c r="O49" s="437"/>
      <c r="P49" s="325"/>
      <c r="Q49" s="325"/>
      <c r="R49" s="325"/>
      <c r="S49" s="325"/>
      <c r="T49" s="325"/>
    </row>
    <row r="50" spans="1:20" x14ac:dyDescent="0.25">
      <c r="A50" s="288"/>
      <c r="B50" s="288"/>
      <c r="C50" s="288"/>
      <c r="D50" s="288"/>
      <c r="E50" s="288"/>
      <c r="F50" s="288"/>
      <c r="G50" s="437"/>
      <c r="H50" s="437"/>
      <c r="I50" s="437"/>
      <c r="J50" s="325"/>
      <c r="K50" s="325"/>
      <c r="L50" s="306"/>
      <c r="M50" s="306"/>
      <c r="N50" s="306"/>
      <c r="O50" s="437"/>
      <c r="P50" s="325"/>
      <c r="Q50" s="325"/>
      <c r="R50" s="325"/>
      <c r="S50" s="325"/>
      <c r="T50" s="325"/>
    </row>
    <row r="51" spans="1:20" x14ac:dyDescent="0.25">
      <c r="A51" s="288"/>
      <c r="B51" s="288"/>
      <c r="C51" s="288"/>
      <c r="D51" s="288"/>
      <c r="E51" s="288"/>
      <c r="F51" s="288"/>
      <c r="G51" s="437"/>
      <c r="H51" s="437"/>
      <c r="I51" s="437"/>
      <c r="J51" s="325"/>
      <c r="K51" s="325"/>
      <c r="L51" s="306"/>
      <c r="M51" s="306"/>
      <c r="N51" s="306"/>
      <c r="O51" s="437"/>
      <c r="P51" s="325"/>
      <c r="Q51" s="325"/>
      <c r="R51" s="325"/>
      <c r="S51" s="325"/>
      <c r="T51" s="325"/>
    </row>
    <row r="52" spans="1:20" x14ac:dyDescent="0.25">
      <c r="A52" s="288"/>
      <c r="B52" s="288"/>
      <c r="C52" s="288"/>
      <c r="D52" s="288"/>
      <c r="E52" s="288"/>
      <c r="F52" s="288"/>
      <c r="G52" s="437"/>
      <c r="H52" s="437"/>
      <c r="I52" s="437"/>
      <c r="J52" s="325"/>
      <c r="K52" s="325"/>
      <c r="L52" s="306"/>
      <c r="M52" s="306"/>
      <c r="N52" s="306"/>
      <c r="O52" s="437"/>
      <c r="P52" s="325"/>
      <c r="Q52" s="325"/>
      <c r="R52" s="325"/>
      <c r="S52" s="325"/>
      <c r="T52" s="325"/>
    </row>
    <row r="53" spans="1:20" x14ac:dyDescent="0.25">
      <c r="A53" s="288"/>
      <c r="B53" s="288"/>
      <c r="C53" s="288"/>
      <c r="D53" s="288"/>
      <c r="E53" s="288"/>
      <c r="F53" s="288"/>
      <c r="G53" s="437"/>
      <c r="H53" s="437"/>
      <c r="I53" s="437"/>
      <c r="J53" s="325"/>
      <c r="K53" s="325"/>
      <c r="L53" s="306"/>
      <c r="M53" s="306"/>
      <c r="N53" s="306"/>
      <c r="O53" s="437"/>
      <c r="P53" s="325"/>
      <c r="Q53" s="325"/>
      <c r="R53" s="325"/>
      <c r="S53" s="325"/>
      <c r="T53" s="325"/>
    </row>
    <row r="54" spans="1:20" x14ac:dyDescent="0.25">
      <c r="A54" s="288"/>
      <c r="B54" s="288"/>
      <c r="C54" s="288"/>
      <c r="D54" s="288"/>
      <c r="E54" s="288"/>
      <c r="F54" s="288"/>
      <c r="G54" s="437"/>
      <c r="H54" s="437"/>
      <c r="I54" s="437"/>
      <c r="J54" s="325"/>
      <c r="K54" s="325"/>
      <c r="L54" s="306"/>
      <c r="M54" s="306"/>
      <c r="N54" s="306"/>
      <c r="O54" s="437"/>
      <c r="P54" s="325"/>
      <c r="Q54" s="325"/>
      <c r="R54" s="325"/>
      <c r="S54" s="325"/>
      <c r="T54" s="325"/>
    </row>
    <row r="55" spans="1:20" x14ac:dyDescent="0.25">
      <c r="A55" s="288"/>
      <c r="B55" s="288"/>
      <c r="C55" s="288"/>
      <c r="D55" s="288"/>
      <c r="E55" s="288"/>
      <c r="F55" s="288"/>
      <c r="G55" s="437"/>
      <c r="H55" s="437"/>
      <c r="I55" s="437"/>
      <c r="J55" s="325"/>
      <c r="K55" s="325"/>
      <c r="L55" s="306"/>
      <c r="M55" s="306"/>
      <c r="N55" s="306"/>
      <c r="O55" s="437"/>
      <c r="P55" s="325"/>
      <c r="Q55" s="325"/>
      <c r="R55" s="325"/>
      <c r="S55" s="325"/>
      <c r="T55" s="325"/>
    </row>
    <row r="56" spans="1:20" x14ac:dyDescent="0.25">
      <c r="A56" s="288"/>
      <c r="B56" s="288"/>
      <c r="C56" s="288"/>
      <c r="D56" s="288"/>
      <c r="E56" s="288"/>
      <c r="F56" s="288"/>
      <c r="G56" s="437"/>
      <c r="H56" s="437"/>
      <c r="I56" s="437"/>
      <c r="J56" s="325"/>
      <c r="K56" s="325"/>
      <c r="L56" s="306"/>
      <c r="M56" s="404" t="s">
        <v>39</v>
      </c>
      <c r="N56" s="405">
        <f>M97</f>
        <v>0.11600000000000001</v>
      </c>
      <c r="O56" s="437"/>
      <c r="P56" s="325"/>
      <c r="Q56" s="402" t="s">
        <v>228</v>
      </c>
      <c r="R56" s="905">
        <f>O89</f>
        <v>14115500</v>
      </c>
      <c r="S56" s="906"/>
      <c r="T56" s="325"/>
    </row>
    <row r="57" spans="1:20" x14ac:dyDescent="0.25">
      <c r="A57" s="288"/>
      <c r="B57" s="288"/>
      <c r="C57" s="288"/>
      <c r="D57" s="288"/>
      <c r="E57" s="288"/>
      <c r="F57" s="288"/>
      <c r="G57" s="437"/>
      <c r="H57" s="437"/>
      <c r="I57" s="437"/>
      <c r="J57" s="325"/>
      <c r="K57" s="325"/>
      <c r="L57" s="306"/>
      <c r="M57" s="306"/>
      <c r="N57" s="306"/>
      <c r="O57" s="437"/>
      <c r="P57" s="325"/>
      <c r="Q57" s="325"/>
      <c r="R57" s="325"/>
      <c r="S57" s="325"/>
      <c r="T57" s="325"/>
    </row>
    <row r="58" spans="1:20" x14ac:dyDescent="0.25">
      <c r="A58" s="288"/>
      <c r="B58" s="288"/>
      <c r="C58" s="288"/>
      <c r="D58" s="288"/>
      <c r="E58" s="288"/>
      <c r="F58" s="288"/>
      <c r="G58" s="437"/>
      <c r="H58" s="437"/>
      <c r="I58" s="437"/>
      <c r="J58" s="325"/>
      <c r="K58" s="325"/>
      <c r="L58" s="306"/>
      <c r="M58" s="306"/>
      <c r="N58" s="306"/>
      <c r="O58" s="437"/>
      <c r="P58" s="325"/>
      <c r="Q58" s="325"/>
      <c r="R58" s="325"/>
      <c r="S58" s="325"/>
      <c r="T58" s="325"/>
    </row>
    <row r="59" spans="1:20" x14ac:dyDescent="0.25">
      <c r="A59" s="288"/>
      <c r="B59" s="421" t="s">
        <v>49</v>
      </c>
      <c r="C59" s="422"/>
      <c r="D59" s="423" t="s">
        <v>50</v>
      </c>
      <c r="E59" s="424"/>
      <c r="F59" s="329"/>
      <c r="G59" s="307" t="s">
        <v>51</v>
      </c>
      <c r="H59" s="308"/>
      <c r="I59" s="309"/>
      <c r="J59" s="437"/>
      <c r="K59" s="526" t="s">
        <v>52</v>
      </c>
      <c r="L59" s="369"/>
      <c r="M59" s="370"/>
      <c r="N59" s="530" t="s">
        <v>53</v>
      </c>
      <c r="O59" s="389"/>
      <c r="P59" s="389"/>
      <c r="Q59" s="530" t="s">
        <v>54</v>
      </c>
      <c r="R59" s="390"/>
      <c r="S59" s="528" t="s">
        <v>55</v>
      </c>
      <c r="T59" s="325"/>
    </row>
    <row r="60" spans="1:20" x14ac:dyDescent="0.25">
      <c r="A60" s="288"/>
      <c r="B60" s="425" t="s">
        <v>56</v>
      </c>
      <c r="C60" s="330" t="s">
        <v>57</v>
      </c>
      <c r="D60" s="426" t="s">
        <v>58</v>
      </c>
      <c r="E60" s="426" t="s">
        <v>229</v>
      </c>
      <c r="F60" s="426" t="s">
        <v>230</v>
      </c>
      <c r="G60" s="310" t="s">
        <v>60</v>
      </c>
      <c r="H60" s="310" t="s">
        <v>61</v>
      </c>
      <c r="I60" s="311" t="s">
        <v>62</v>
      </c>
      <c r="J60" s="437"/>
      <c r="K60" s="541" t="s">
        <v>63</v>
      </c>
      <c r="L60" s="542" t="s">
        <v>231</v>
      </c>
      <c r="M60" s="527" t="s">
        <v>64</v>
      </c>
      <c r="N60" s="527" t="s">
        <v>65</v>
      </c>
      <c r="O60" s="527" t="s">
        <v>48</v>
      </c>
      <c r="P60" s="372" t="s">
        <v>66</v>
      </c>
      <c r="Q60" s="527" t="s">
        <v>67</v>
      </c>
      <c r="R60" s="371" t="s">
        <v>68</v>
      </c>
      <c r="S60" s="378" t="s">
        <v>69</v>
      </c>
      <c r="T60" s="325"/>
    </row>
    <row r="61" spans="1:20" x14ac:dyDescent="0.25">
      <c r="A61" s="288"/>
      <c r="B61" s="907" t="s">
        <v>232</v>
      </c>
      <c r="C61" s="331" t="s">
        <v>233</v>
      </c>
      <c r="D61" s="427"/>
      <c r="E61" s="428"/>
      <c r="F61" s="334">
        <v>22000</v>
      </c>
      <c r="G61" s="316">
        <v>750</v>
      </c>
      <c r="H61" s="312">
        <v>1500</v>
      </c>
      <c r="I61" s="313">
        <v>3000</v>
      </c>
      <c r="J61" s="437"/>
      <c r="K61" s="304" t="s">
        <v>234</v>
      </c>
      <c r="L61" s="510" t="s">
        <v>235</v>
      </c>
      <c r="M61" s="351" t="s">
        <v>236</v>
      </c>
      <c r="N61" s="510">
        <v>100</v>
      </c>
      <c r="O61" s="379">
        <v>150000</v>
      </c>
      <c r="P61" s="379"/>
      <c r="Q61" s="510"/>
      <c r="R61" s="380">
        <v>8000</v>
      </c>
      <c r="S61" s="381"/>
      <c r="T61" s="325"/>
    </row>
    <row r="62" spans="1:20" x14ac:dyDescent="0.25">
      <c r="A62" s="288"/>
      <c r="B62" s="908"/>
      <c r="C62" s="443" t="s">
        <v>237</v>
      </c>
      <c r="D62" s="433"/>
      <c r="E62" s="444"/>
      <c r="F62" s="335">
        <v>10000</v>
      </c>
      <c r="G62" s="314">
        <v>500</v>
      </c>
      <c r="H62" s="314">
        <v>1000</v>
      </c>
      <c r="I62" s="315">
        <v>2000</v>
      </c>
      <c r="J62" s="437"/>
      <c r="K62" s="442"/>
      <c r="L62" s="429" t="s">
        <v>238</v>
      </c>
      <c r="M62" s="582" t="s">
        <v>236</v>
      </c>
      <c r="N62" s="429">
        <v>648</v>
      </c>
      <c r="O62" s="341">
        <v>1000000</v>
      </c>
      <c r="P62" s="341"/>
      <c r="Q62" s="429"/>
      <c r="R62" s="374"/>
      <c r="S62" s="529"/>
      <c r="T62" s="325"/>
    </row>
    <row r="63" spans="1:20" x14ac:dyDescent="0.25">
      <c r="A63" s="288"/>
      <c r="B63" s="817" t="s">
        <v>239</v>
      </c>
      <c r="C63" s="332" t="s">
        <v>240</v>
      </c>
      <c r="D63" s="427"/>
      <c r="E63" s="428"/>
      <c r="F63" s="438"/>
      <c r="G63" s="316">
        <v>500</v>
      </c>
      <c r="H63" s="316">
        <v>1000</v>
      </c>
      <c r="I63" s="317">
        <v>2000</v>
      </c>
      <c r="J63" s="437"/>
      <c r="K63" s="441"/>
      <c r="L63" s="298" t="s">
        <v>241</v>
      </c>
      <c r="M63" s="582" t="s">
        <v>236</v>
      </c>
      <c r="N63" s="299">
        <v>175</v>
      </c>
      <c r="O63" s="299"/>
      <c r="P63" s="299">
        <v>300000</v>
      </c>
      <c r="Q63" s="429"/>
      <c r="R63" s="374"/>
      <c r="S63" s="529"/>
      <c r="T63" s="325"/>
    </row>
    <row r="64" spans="1:20" x14ac:dyDescent="0.25">
      <c r="A64" s="288"/>
      <c r="B64" s="898"/>
      <c r="C64" s="445" t="s">
        <v>242</v>
      </c>
      <c r="D64" s="430"/>
      <c r="E64" s="328"/>
      <c r="F64" s="336">
        <v>15000</v>
      </c>
      <c r="G64" s="318">
        <v>750</v>
      </c>
      <c r="H64" s="320">
        <v>1500</v>
      </c>
      <c r="I64" s="321">
        <v>3000</v>
      </c>
      <c r="J64" s="437"/>
      <c r="K64" s="441" t="s">
        <v>243</v>
      </c>
      <c r="L64" s="298" t="s">
        <v>244</v>
      </c>
      <c r="M64" s="582" t="s">
        <v>236</v>
      </c>
      <c r="N64" s="299">
        <v>648</v>
      </c>
      <c r="O64" s="299">
        <v>1000000</v>
      </c>
      <c r="P64" s="299"/>
      <c r="Q64" s="429"/>
      <c r="R64" s="375">
        <v>8000</v>
      </c>
      <c r="S64" s="529"/>
      <c r="T64" s="325"/>
    </row>
    <row r="65" spans="1:20" x14ac:dyDescent="0.25">
      <c r="A65" s="288"/>
      <c r="B65" s="898"/>
      <c r="C65" s="445" t="s">
        <v>245</v>
      </c>
      <c r="D65" s="430"/>
      <c r="E65" s="328"/>
      <c r="F65" s="336">
        <v>13000</v>
      </c>
      <c r="G65" s="318">
        <v>500</v>
      </c>
      <c r="H65" s="318">
        <v>1000</v>
      </c>
      <c r="I65" s="319">
        <v>2000</v>
      </c>
      <c r="J65" s="437"/>
      <c r="K65" s="441" t="s">
        <v>115</v>
      </c>
      <c r="L65" s="298" t="s">
        <v>246</v>
      </c>
      <c r="M65" s="582" t="s">
        <v>236</v>
      </c>
      <c r="N65" s="299"/>
      <c r="O65" s="299" t="s">
        <v>115</v>
      </c>
      <c r="P65" s="299"/>
      <c r="Q65" s="429"/>
      <c r="R65" s="375"/>
      <c r="S65" s="529"/>
      <c r="T65" s="325"/>
    </row>
    <row r="66" spans="1:20" x14ac:dyDescent="0.25">
      <c r="A66" s="288"/>
      <c r="B66" s="898"/>
      <c r="C66" s="333" t="s">
        <v>247</v>
      </c>
      <c r="D66" s="433"/>
      <c r="E66" s="444"/>
      <c r="F66" s="335">
        <v>22000</v>
      </c>
      <c r="G66" s="314">
        <v>1000</v>
      </c>
      <c r="H66" s="314">
        <v>2000</v>
      </c>
      <c r="I66" s="315">
        <v>4000</v>
      </c>
      <c r="J66" s="437"/>
      <c r="K66" s="441" t="s">
        <v>248</v>
      </c>
      <c r="L66" s="298" t="s">
        <v>249</v>
      </c>
      <c r="M66" s="581" t="s">
        <v>250</v>
      </c>
      <c r="N66" s="299">
        <v>165</v>
      </c>
      <c r="O66" s="299">
        <v>250000</v>
      </c>
      <c r="P66" s="448"/>
      <c r="Q66" s="429"/>
      <c r="R66" s="375"/>
      <c r="S66" s="529"/>
      <c r="T66" s="325"/>
    </row>
    <row r="67" spans="1:20" x14ac:dyDescent="0.25">
      <c r="A67" s="288"/>
      <c r="B67" s="895" t="s">
        <v>251</v>
      </c>
      <c r="C67" s="332" t="s">
        <v>252</v>
      </c>
      <c r="D67" s="427"/>
      <c r="E67" s="428"/>
      <c r="F67" s="438"/>
      <c r="G67" s="284" t="s">
        <v>72</v>
      </c>
      <c r="H67" s="284" t="s">
        <v>72</v>
      </c>
      <c r="I67" s="295" t="s">
        <v>72</v>
      </c>
      <c r="J67" s="437"/>
      <c r="K67" s="441" t="s">
        <v>253</v>
      </c>
      <c r="L67" s="298" t="s">
        <v>73</v>
      </c>
      <c r="M67" s="581" t="s">
        <v>250</v>
      </c>
      <c r="N67" s="448">
        <v>150</v>
      </c>
      <c r="O67" s="448">
        <v>225500</v>
      </c>
      <c r="P67" s="342"/>
      <c r="Q67" s="429"/>
      <c r="R67" s="376">
        <v>1152</v>
      </c>
      <c r="S67" s="529"/>
      <c r="T67" s="325"/>
    </row>
    <row r="68" spans="1:20" x14ac:dyDescent="0.25">
      <c r="A68" s="288"/>
      <c r="B68" s="896"/>
      <c r="C68" s="445" t="s">
        <v>254</v>
      </c>
      <c r="D68" s="430"/>
      <c r="E68" s="328"/>
      <c r="F68" s="327"/>
      <c r="G68" s="431" t="s">
        <v>72</v>
      </c>
      <c r="H68" s="431" t="s">
        <v>72</v>
      </c>
      <c r="I68" s="432" t="s">
        <v>72</v>
      </c>
      <c r="J68" s="437"/>
      <c r="K68" s="441" t="s">
        <v>115</v>
      </c>
      <c r="L68" s="298" t="s">
        <v>255</v>
      </c>
      <c r="M68" s="581" t="s">
        <v>250</v>
      </c>
      <c r="N68" s="298"/>
      <c r="O68" s="448" t="s">
        <v>115</v>
      </c>
      <c r="P68" s="342"/>
      <c r="Q68" s="429"/>
      <c r="R68" s="374"/>
      <c r="S68" s="529"/>
      <c r="T68" s="325"/>
    </row>
    <row r="69" spans="1:20" x14ac:dyDescent="0.25">
      <c r="A69" s="288"/>
      <c r="B69" s="896"/>
      <c r="C69" s="445" t="s">
        <v>256</v>
      </c>
      <c r="D69" s="430"/>
      <c r="E69" s="328"/>
      <c r="F69" s="336">
        <v>15000</v>
      </c>
      <c r="G69" s="318">
        <v>500</v>
      </c>
      <c r="H69" s="318">
        <v>1000</v>
      </c>
      <c r="I69" s="319">
        <v>2000</v>
      </c>
      <c r="J69" s="437"/>
      <c r="K69" s="441" t="s">
        <v>257</v>
      </c>
      <c r="L69" s="298" t="s">
        <v>258</v>
      </c>
      <c r="M69" s="581" t="s">
        <v>250</v>
      </c>
      <c r="N69" s="448">
        <v>100</v>
      </c>
      <c r="O69" s="342">
        <v>150000</v>
      </c>
      <c r="P69" s="342"/>
      <c r="Q69" s="429"/>
      <c r="R69" s="773">
        <v>5820</v>
      </c>
      <c r="S69" s="529"/>
      <c r="T69" s="325"/>
    </row>
    <row r="70" spans="1:20" x14ac:dyDescent="0.25">
      <c r="A70" s="288"/>
      <c r="B70" s="896"/>
      <c r="C70" s="445" t="s">
        <v>259</v>
      </c>
      <c r="D70" s="430"/>
      <c r="E70" s="328"/>
      <c r="F70" s="336">
        <v>24000</v>
      </c>
      <c r="G70" s="318">
        <v>1000</v>
      </c>
      <c r="H70" s="318">
        <v>2000</v>
      </c>
      <c r="I70" s="319">
        <v>4000</v>
      </c>
      <c r="J70" s="437"/>
      <c r="K70" s="441"/>
      <c r="L70" s="298" t="s">
        <v>260</v>
      </c>
      <c r="M70" s="581" t="s">
        <v>250</v>
      </c>
      <c r="N70" s="298">
        <v>165</v>
      </c>
      <c r="O70" s="342">
        <v>250000</v>
      </c>
      <c r="P70" s="342"/>
      <c r="Q70" s="429"/>
      <c r="R70" s="773"/>
      <c r="S70" s="529"/>
      <c r="T70" s="325"/>
    </row>
    <row r="71" spans="1:20" x14ac:dyDescent="0.25">
      <c r="A71" s="288"/>
      <c r="B71" s="896"/>
      <c r="C71" s="445" t="s">
        <v>261</v>
      </c>
      <c r="D71" s="430"/>
      <c r="E71" s="328"/>
      <c r="F71" s="336">
        <v>8000</v>
      </c>
      <c r="G71" s="318">
        <v>500</v>
      </c>
      <c r="H71" s="318">
        <v>1000</v>
      </c>
      <c r="I71" s="319">
        <v>2000</v>
      </c>
      <c r="J71" s="437"/>
      <c r="K71" s="442"/>
      <c r="L71" s="298" t="s">
        <v>262</v>
      </c>
      <c r="M71" s="581" t="s">
        <v>250</v>
      </c>
      <c r="N71" s="429">
        <v>165</v>
      </c>
      <c r="O71" s="341">
        <v>250000</v>
      </c>
      <c r="P71" s="341"/>
      <c r="Q71" s="429"/>
      <c r="R71" s="773"/>
      <c r="S71" s="529"/>
      <c r="T71" s="325"/>
    </row>
    <row r="72" spans="1:20" x14ac:dyDescent="0.25">
      <c r="A72" s="288"/>
      <c r="B72" s="896"/>
      <c r="C72" s="445" t="s">
        <v>263</v>
      </c>
      <c r="D72" s="430"/>
      <c r="E72" s="328"/>
      <c r="F72" s="336">
        <v>12000</v>
      </c>
      <c r="G72" s="318">
        <v>750</v>
      </c>
      <c r="H72" s="320">
        <v>1500</v>
      </c>
      <c r="I72" s="321">
        <v>3000</v>
      </c>
      <c r="J72" s="437"/>
      <c r="K72" s="442"/>
      <c r="L72" s="298" t="s">
        <v>264</v>
      </c>
      <c r="M72" s="581" t="s">
        <v>250</v>
      </c>
      <c r="N72" s="298">
        <v>165</v>
      </c>
      <c r="O72" s="342">
        <v>250000</v>
      </c>
      <c r="P72" s="341"/>
      <c r="Q72" s="429"/>
      <c r="R72" s="773"/>
      <c r="S72" s="529"/>
      <c r="T72" s="325"/>
    </row>
    <row r="73" spans="1:20" x14ac:dyDescent="0.25">
      <c r="A73" s="288"/>
      <c r="B73" s="897"/>
      <c r="C73" s="333" t="s">
        <v>265</v>
      </c>
      <c r="D73" s="433"/>
      <c r="E73" s="444"/>
      <c r="F73" s="335">
        <v>18000</v>
      </c>
      <c r="G73" s="314">
        <v>1000</v>
      </c>
      <c r="H73" s="314">
        <v>2000</v>
      </c>
      <c r="I73" s="315">
        <v>4000</v>
      </c>
      <c r="J73" s="437"/>
      <c r="K73" s="442"/>
      <c r="L73" s="298" t="s">
        <v>99</v>
      </c>
      <c r="M73" s="581" t="s">
        <v>250</v>
      </c>
      <c r="N73" s="298">
        <v>320</v>
      </c>
      <c r="O73" s="342">
        <v>490000</v>
      </c>
      <c r="P73" s="341"/>
      <c r="Q73" s="429"/>
      <c r="R73" s="447">
        <v>3210</v>
      </c>
      <c r="S73" s="529"/>
      <c r="T73" s="325"/>
    </row>
    <row r="74" spans="1:20" x14ac:dyDescent="0.25">
      <c r="A74" s="288"/>
      <c r="B74" s="817" t="s">
        <v>266</v>
      </c>
      <c r="C74" s="292" t="s">
        <v>267</v>
      </c>
      <c r="D74" s="427"/>
      <c r="E74" s="428"/>
      <c r="F74" s="334">
        <v>13000</v>
      </c>
      <c r="G74" s="316">
        <v>750</v>
      </c>
      <c r="H74" s="312">
        <v>1500</v>
      </c>
      <c r="I74" s="313">
        <v>3000</v>
      </c>
      <c r="J74" s="437"/>
      <c r="K74" s="442" t="s">
        <v>268</v>
      </c>
      <c r="L74" s="298" t="s">
        <v>269</v>
      </c>
      <c r="M74" s="581" t="s">
        <v>250</v>
      </c>
      <c r="N74" s="298">
        <v>1621</v>
      </c>
      <c r="O74" s="342">
        <v>2500000</v>
      </c>
      <c r="P74" s="341"/>
      <c r="Q74" s="429"/>
      <c r="R74" s="373">
        <v>24000</v>
      </c>
      <c r="S74" s="529"/>
      <c r="T74" s="325"/>
    </row>
    <row r="75" spans="1:20" x14ac:dyDescent="0.25">
      <c r="A75" s="288"/>
      <c r="B75" s="898"/>
      <c r="C75" s="293" t="s">
        <v>270</v>
      </c>
      <c r="D75" s="430"/>
      <c r="E75" s="328"/>
      <c r="F75" s="336">
        <v>14000</v>
      </c>
      <c r="G75" s="318">
        <v>750</v>
      </c>
      <c r="H75" s="320">
        <v>1500</v>
      </c>
      <c r="I75" s="321">
        <v>3000</v>
      </c>
      <c r="J75" s="437"/>
      <c r="K75" s="442"/>
      <c r="L75" s="298" t="s">
        <v>271</v>
      </c>
      <c r="M75" s="581" t="s">
        <v>250</v>
      </c>
      <c r="N75" s="298">
        <v>100</v>
      </c>
      <c r="O75" s="342">
        <v>150000</v>
      </c>
      <c r="P75" s="341"/>
      <c r="Q75" s="429"/>
      <c r="R75" s="377"/>
      <c r="S75" s="529"/>
      <c r="T75" s="325"/>
    </row>
    <row r="76" spans="1:20" x14ac:dyDescent="0.25">
      <c r="A76" s="288"/>
      <c r="B76" s="898"/>
      <c r="C76" s="293" t="s">
        <v>272</v>
      </c>
      <c r="D76" s="430"/>
      <c r="E76" s="328"/>
      <c r="F76" s="336">
        <v>22000</v>
      </c>
      <c r="G76" s="318">
        <v>750</v>
      </c>
      <c r="H76" s="320">
        <v>1500</v>
      </c>
      <c r="I76" s="321">
        <v>3000</v>
      </c>
      <c r="J76" s="437"/>
      <c r="K76" s="442"/>
      <c r="L76" s="298" t="s">
        <v>273</v>
      </c>
      <c r="M76" s="581" t="s">
        <v>250</v>
      </c>
      <c r="N76" s="298">
        <v>230</v>
      </c>
      <c r="O76" s="342">
        <v>350000</v>
      </c>
      <c r="P76" s="341"/>
      <c r="Q76" s="429"/>
      <c r="R76" s="377"/>
      <c r="S76" s="529"/>
      <c r="T76" s="325"/>
    </row>
    <row r="77" spans="1:20" x14ac:dyDescent="0.25">
      <c r="A77" s="288"/>
      <c r="B77" s="898"/>
      <c r="C77" s="293" t="s">
        <v>274</v>
      </c>
      <c r="D77" s="430"/>
      <c r="E77" s="328"/>
      <c r="F77" s="336">
        <v>3000</v>
      </c>
      <c r="G77" s="318">
        <v>500</v>
      </c>
      <c r="H77" s="318">
        <v>1000</v>
      </c>
      <c r="I77" s="319">
        <v>2000</v>
      </c>
      <c r="J77" s="437"/>
      <c r="K77" s="442" t="s">
        <v>275</v>
      </c>
      <c r="L77" s="298" t="s">
        <v>276</v>
      </c>
      <c r="M77" s="581" t="s">
        <v>250</v>
      </c>
      <c r="N77" s="298">
        <v>972</v>
      </c>
      <c r="O77" s="342">
        <v>1800000</v>
      </c>
      <c r="P77" s="341"/>
      <c r="Q77" s="429"/>
      <c r="R77" s="373">
        <v>19445</v>
      </c>
      <c r="S77" s="529"/>
      <c r="T77" s="325"/>
    </row>
    <row r="78" spans="1:20" x14ac:dyDescent="0.25">
      <c r="A78" s="288"/>
      <c r="B78" s="898"/>
      <c r="C78" s="293" t="s">
        <v>277</v>
      </c>
      <c r="D78" s="430"/>
      <c r="E78" s="328"/>
      <c r="F78" s="336">
        <v>36000</v>
      </c>
      <c r="G78" s="318">
        <v>1000</v>
      </c>
      <c r="H78" s="318">
        <v>2000</v>
      </c>
      <c r="I78" s="319">
        <v>4000</v>
      </c>
      <c r="J78" s="437"/>
      <c r="K78" s="442" t="s">
        <v>278</v>
      </c>
      <c r="L78" s="298" t="s">
        <v>279</v>
      </c>
      <c r="M78" s="581" t="s">
        <v>250</v>
      </c>
      <c r="N78" s="298">
        <v>200</v>
      </c>
      <c r="O78" s="342">
        <v>300000</v>
      </c>
      <c r="P78" s="341"/>
      <c r="Q78" s="429"/>
      <c r="R78" s="377"/>
      <c r="S78" s="529"/>
      <c r="T78" s="325"/>
    </row>
    <row r="79" spans="1:20" x14ac:dyDescent="0.25">
      <c r="A79" s="288"/>
      <c r="B79" s="898"/>
      <c r="C79" s="293" t="s">
        <v>260</v>
      </c>
      <c r="D79" s="430"/>
      <c r="E79" s="328"/>
      <c r="F79" s="336">
        <v>31000</v>
      </c>
      <c r="G79" s="318">
        <v>1000</v>
      </c>
      <c r="H79" s="318">
        <v>2000</v>
      </c>
      <c r="I79" s="319">
        <v>4000</v>
      </c>
      <c r="J79" s="437"/>
      <c r="K79" s="442" t="s">
        <v>280</v>
      </c>
      <c r="L79" s="298" t="s">
        <v>281</v>
      </c>
      <c r="M79" s="581" t="s">
        <v>250</v>
      </c>
      <c r="N79" s="298">
        <v>285</v>
      </c>
      <c r="O79" s="341"/>
      <c r="P79" s="341">
        <v>400000</v>
      </c>
      <c r="Q79" s="429"/>
      <c r="R79" s="373">
        <v>9135</v>
      </c>
      <c r="S79" s="529"/>
      <c r="T79" s="325"/>
    </row>
    <row r="80" spans="1:20" x14ac:dyDescent="0.25">
      <c r="A80" s="288"/>
      <c r="B80" s="898"/>
      <c r="C80" s="293" t="s">
        <v>99</v>
      </c>
      <c r="D80" s="430"/>
      <c r="E80" s="328"/>
      <c r="F80" s="336">
        <v>38000</v>
      </c>
      <c r="G80" s="318">
        <v>750</v>
      </c>
      <c r="H80" s="320">
        <v>1500</v>
      </c>
      <c r="I80" s="321">
        <v>3000</v>
      </c>
      <c r="J80" s="437"/>
      <c r="K80" s="442"/>
      <c r="L80" s="298" t="s">
        <v>282</v>
      </c>
      <c r="M80" s="581" t="s">
        <v>250</v>
      </c>
      <c r="N80" s="298">
        <v>106</v>
      </c>
      <c r="O80" s="341"/>
      <c r="P80" s="341">
        <v>150000</v>
      </c>
      <c r="Q80" s="429"/>
      <c r="R80" s="377"/>
      <c r="S80" s="529"/>
      <c r="T80" s="325"/>
    </row>
    <row r="81" spans="1:20" x14ac:dyDescent="0.25">
      <c r="A81" s="288"/>
      <c r="B81" s="898"/>
      <c r="C81" s="294" t="s">
        <v>283</v>
      </c>
      <c r="D81" s="433"/>
      <c r="E81" s="444"/>
      <c r="F81" s="326"/>
      <c r="G81" s="314">
        <v>500</v>
      </c>
      <c r="H81" s="314">
        <v>1000</v>
      </c>
      <c r="I81" s="315">
        <v>2000</v>
      </c>
      <c r="J81" s="437"/>
      <c r="K81" s="442"/>
      <c r="L81" s="298" t="s">
        <v>284</v>
      </c>
      <c r="M81" s="581" t="s">
        <v>250</v>
      </c>
      <c r="N81" s="298">
        <v>55</v>
      </c>
      <c r="O81" s="341"/>
      <c r="P81" s="341">
        <v>75000</v>
      </c>
      <c r="Q81" s="429"/>
      <c r="R81" s="377"/>
      <c r="S81" s="529"/>
      <c r="T81" s="325"/>
    </row>
    <row r="82" spans="1:20" x14ac:dyDescent="0.25">
      <c r="A82" s="288"/>
      <c r="B82" s="817" t="s">
        <v>285</v>
      </c>
      <c r="C82" s="289" t="s">
        <v>271</v>
      </c>
      <c r="D82" s="427"/>
      <c r="E82" s="428"/>
      <c r="F82" s="334">
        <v>14000</v>
      </c>
      <c r="G82" s="316">
        <v>500</v>
      </c>
      <c r="H82" s="316">
        <v>1000</v>
      </c>
      <c r="I82" s="317">
        <v>2000</v>
      </c>
      <c r="J82" s="437"/>
      <c r="K82" s="442" t="s">
        <v>286</v>
      </c>
      <c r="L82" s="298" t="s">
        <v>287</v>
      </c>
      <c r="M82" s="581" t="s">
        <v>250</v>
      </c>
      <c r="N82" s="298">
        <v>130</v>
      </c>
      <c r="O82" s="341">
        <v>200000</v>
      </c>
      <c r="P82" s="341"/>
      <c r="Q82" s="429"/>
      <c r="R82" s="377"/>
      <c r="S82" s="529"/>
      <c r="T82" s="325"/>
    </row>
    <row r="83" spans="1:20" x14ac:dyDescent="0.25">
      <c r="A83" s="288"/>
      <c r="B83" s="898"/>
      <c r="C83" s="290" t="s">
        <v>288</v>
      </c>
      <c r="D83" s="430"/>
      <c r="E83" s="328">
        <v>828</v>
      </c>
      <c r="F83" s="336">
        <v>15000</v>
      </c>
      <c r="G83" s="318">
        <v>750</v>
      </c>
      <c r="H83" s="320">
        <v>1500</v>
      </c>
      <c r="I83" s="321">
        <v>3000</v>
      </c>
      <c r="J83" s="437"/>
      <c r="K83" s="442" t="s">
        <v>289</v>
      </c>
      <c r="L83" s="298" t="s">
        <v>290</v>
      </c>
      <c r="M83" s="581" t="s">
        <v>250</v>
      </c>
      <c r="N83" s="298">
        <v>215</v>
      </c>
      <c r="O83" s="341"/>
      <c r="P83" s="342">
        <v>300000</v>
      </c>
      <c r="Q83" s="429"/>
      <c r="R83" s="377"/>
      <c r="S83" s="529"/>
      <c r="T83" s="325"/>
    </row>
    <row r="84" spans="1:20" ht="15" customHeight="1" x14ac:dyDescent="0.25">
      <c r="A84" s="288"/>
      <c r="B84" s="898"/>
      <c r="C84" s="290" t="s">
        <v>285</v>
      </c>
      <c r="D84" s="430">
        <v>794</v>
      </c>
      <c r="E84" s="328">
        <v>4036</v>
      </c>
      <c r="F84" s="336">
        <v>24000</v>
      </c>
      <c r="G84" s="318">
        <v>1000</v>
      </c>
      <c r="H84" s="318">
        <v>2000</v>
      </c>
      <c r="I84" s="319">
        <v>4000</v>
      </c>
      <c r="J84" s="437"/>
      <c r="K84" s="442"/>
      <c r="L84" s="298" t="s">
        <v>291</v>
      </c>
      <c r="M84" s="581" t="s">
        <v>250</v>
      </c>
      <c r="N84" s="298">
        <v>690</v>
      </c>
      <c r="O84" s="341">
        <v>1050000</v>
      </c>
      <c r="P84" s="341"/>
      <c r="Q84" s="429"/>
      <c r="R84" s="377"/>
      <c r="S84" s="529"/>
      <c r="T84" s="325"/>
    </row>
    <row r="85" spans="1:20" x14ac:dyDescent="0.25">
      <c r="A85" s="288"/>
      <c r="B85" s="898"/>
      <c r="C85" s="291" t="s">
        <v>292</v>
      </c>
      <c r="D85" s="430"/>
      <c r="E85" s="328">
        <v>537</v>
      </c>
      <c r="F85" s="336">
        <v>19000</v>
      </c>
      <c r="G85" s="314">
        <v>1000</v>
      </c>
      <c r="H85" s="314">
        <v>2000</v>
      </c>
      <c r="I85" s="315">
        <v>4000</v>
      </c>
      <c r="J85" s="437"/>
      <c r="K85" s="442" t="s">
        <v>293</v>
      </c>
      <c r="L85" s="298" t="s">
        <v>294</v>
      </c>
      <c r="M85" s="581" t="s">
        <v>250</v>
      </c>
      <c r="N85" s="298">
        <v>425</v>
      </c>
      <c r="O85" s="341">
        <v>650000</v>
      </c>
      <c r="P85" s="341"/>
      <c r="Q85" s="429"/>
      <c r="R85" s="377"/>
      <c r="S85" s="529"/>
      <c r="T85" s="325"/>
    </row>
    <row r="86" spans="1:20" x14ac:dyDescent="0.25">
      <c r="A86" s="288"/>
      <c r="B86" s="817" t="s">
        <v>295</v>
      </c>
      <c r="C86" s="332" t="s">
        <v>296</v>
      </c>
      <c r="D86" s="427">
        <v>938</v>
      </c>
      <c r="E86" s="428">
        <v>806</v>
      </c>
      <c r="F86" s="334">
        <v>11000</v>
      </c>
      <c r="G86" s="316">
        <v>500</v>
      </c>
      <c r="H86" s="316">
        <v>1000</v>
      </c>
      <c r="I86" s="317">
        <v>2000</v>
      </c>
      <c r="J86" s="437"/>
      <c r="K86" s="442" t="s">
        <v>297</v>
      </c>
      <c r="L86" s="298" t="s">
        <v>298</v>
      </c>
      <c r="M86" s="581" t="s">
        <v>250</v>
      </c>
      <c r="N86" s="298">
        <v>260</v>
      </c>
      <c r="O86" s="342">
        <v>1000000</v>
      </c>
      <c r="P86" s="341"/>
      <c r="Q86" s="429"/>
      <c r="R86" s="373">
        <v>11915</v>
      </c>
      <c r="S86" s="529"/>
      <c r="T86" s="325"/>
    </row>
    <row r="87" spans="1:20" x14ac:dyDescent="0.25">
      <c r="A87" s="288"/>
      <c r="B87" s="898"/>
      <c r="C87" s="445" t="s">
        <v>299</v>
      </c>
      <c r="D87" s="430">
        <v>288</v>
      </c>
      <c r="E87" s="328">
        <v>718</v>
      </c>
      <c r="F87" s="336">
        <v>19000</v>
      </c>
      <c r="G87" s="318">
        <v>1000</v>
      </c>
      <c r="H87" s="318">
        <v>2000</v>
      </c>
      <c r="I87" s="319">
        <v>4000</v>
      </c>
      <c r="J87" s="437"/>
      <c r="K87" s="442"/>
      <c r="L87" s="298" t="s">
        <v>294</v>
      </c>
      <c r="M87" s="581" t="s">
        <v>250</v>
      </c>
      <c r="N87" s="298">
        <v>415</v>
      </c>
      <c r="O87" s="342">
        <v>900000</v>
      </c>
      <c r="P87" s="341"/>
      <c r="Q87" s="429"/>
      <c r="R87" s="377"/>
      <c r="S87" s="529"/>
      <c r="T87" s="325"/>
    </row>
    <row r="88" spans="1:20" x14ac:dyDescent="0.25">
      <c r="A88" s="288"/>
      <c r="B88" s="898"/>
      <c r="C88" s="445" t="s">
        <v>300</v>
      </c>
      <c r="D88" s="430">
        <v>6</v>
      </c>
      <c r="E88" s="328">
        <v>88</v>
      </c>
      <c r="F88" s="336">
        <v>6000</v>
      </c>
      <c r="G88" s="318">
        <v>500</v>
      </c>
      <c r="H88" s="318">
        <v>1000</v>
      </c>
      <c r="I88" s="319">
        <v>2000</v>
      </c>
      <c r="J88" s="437"/>
      <c r="K88" s="442"/>
      <c r="L88" s="298" t="s">
        <v>301</v>
      </c>
      <c r="M88" s="581" t="s">
        <v>250</v>
      </c>
      <c r="N88" s="429">
        <v>715</v>
      </c>
      <c r="O88" s="341">
        <v>1200000</v>
      </c>
      <c r="P88" s="341"/>
      <c r="Q88" s="429"/>
      <c r="R88" s="377"/>
      <c r="S88" s="529"/>
      <c r="T88" s="325"/>
    </row>
    <row r="89" spans="1:20" x14ac:dyDescent="0.25">
      <c r="A89" s="288"/>
      <c r="B89" s="898"/>
      <c r="C89" s="445" t="s">
        <v>302</v>
      </c>
      <c r="D89" s="430">
        <v>57</v>
      </c>
      <c r="E89" s="328">
        <v>246</v>
      </c>
      <c r="F89" s="336">
        <v>8000</v>
      </c>
      <c r="G89" s="318">
        <v>500</v>
      </c>
      <c r="H89" s="318">
        <v>1000</v>
      </c>
      <c r="I89" s="319">
        <v>2000</v>
      </c>
      <c r="J89" s="437"/>
      <c r="K89" s="382" t="s">
        <v>95</v>
      </c>
      <c r="L89" s="383"/>
      <c r="M89" s="384"/>
      <c r="N89" s="385">
        <v>12000</v>
      </c>
      <c r="O89" s="386">
        <f>SUM(O61:O88)</f>
        <v>14115500</v>
      </c>
      <c r="P89" s="386">
        <f>SUM(P61:P88)</f>
        <v>1225000</v>
      </c>
      <c r="Q89" s="387"/>
      <c r="R89" s="386">
        <f>SUM(R61:R88)</f>
        <v>90677</v>
      </c>
      <c r="S89" s="388"/>
      <c r="T89" s="325"/>
    </row>
    <row r="90" spans="1:20" x14ac:dyDescent="0.25">
      <c r="A90" s="288"/>
      <c r="B90" s="898"/>
      <c r="C90" s="445" t="s">
        <v>303</v>
      </c>
      <c r="D90" s="430">
        <v>77</v>
      </c>
      <c r="E90" s="328">
        <v>633</v>
      </c>
      <c r="F90" s="336">
        <v>9000</v>
      </c>
      <c r="G90" s="318">
        <v>500</v>
      </c>
      <c r="H90" s="318">
        <v>1000</v>
      </c>
      <c r="I90" s="319">
        <v>2000</v>
      </c>
      <c r="J90" s="437"/>
      <c r="K90" s="325"/>
      <c r="L90" s="325"/>
      <c r="M90" s="325"/>
      <c r="N90" s="325"/>
      <c r="O90" s="325"/>
      <c r="P90" s="325"/>
      <c r="Q90" s="325"/>
      <c r="R90" s="325"/>
      <c r="S90" s="325"/>
      <c r="T90" s="325"/>
    </row>
    <row r="91" spans="1:20" x14ac:dyDescent="0.25">
      <c r="B91" s="898"/>
      <c r="C91" s="445" t="s">
        <v>304</v>
      </c>
      <c r="D91" s="430">
        <v>102</v>
      </c>
      <c r="E91" s="328">
        <v>586</v>
      </c>
      <c r="F91" s="336">
        <v>17000</v>
      </c>
      <c r="G91" s="318">
        <v>750</v>
      </c>
      <c r="H91" s="320">
        <v>1500</v>
      </c>
      <c r="I91" s="321">
        <v>3000</v>
      </c>
      <c r="J91" s="437"/>
      <c r="K91" s="434" t="s">
        <v>101</v>
      </c>
      <c r="L91" s="435"/>
      <c r="M91" s="286"/>
      <c r="N91" s="285"/>
      <c r="O91" s="287"/>
      <c r="P91" s="285" t="s">
        <v>5</v>
      </c>
      <c r="Q91" s="531"/>
      <c r="R91" s="325"/>
      <c r="S91" s="325"/>
      <c r="T91" s="325"/>
    </row>
    <row r="92" spans="1:20" x14ac:dyDescent="0.25">
      <c r="B92" s="898"/>
      <c r="C92" s="445" t="s">
        <v>305</v>
      </c>
      <c r="D92" s="430">
        <v>106</v>
      </c>
      <c r="E92" s="328">
        <v>371</v>
      </c>
      <c r="F92" s="336">
        <v>4000</v>
      </c>
      <c r="G92" s="318">
        <v>500</v>
      </c>
      <c r="H92" s="318">
        <v>1000</v>
      </c>
      <c r="I92" s="319">
        <v>2000</v>
      </c>
      <c r="J92" s="437"/>
      <c r="K92" s="436"/>
      <c r="L92" s="532" t="s">
        <v>105</v>
      </c>
      <c r="M92" s="514" t="s">
        <v>306</v>
      </c>
      <c r="N92" s="514" t="s">
        <v>68</v>
      </c>
      <c r="O92" s="514" t="s">
        <v>55</v>
      </c>
      <c r="P92" s="514" t="s">
        <v>108</v>
      </c>
      <c r="Q92" s="533" t="s">
        <v>55</v>
      </c>
      <c r="R92" s="325"/>
      <c r="S92" s="325"/>
      <c r="T92" s="325"/>
    </row>
    <row r="93" spans="1:20" x14ac:dyDescent="0.25">
      <c r="B93" s="898"/>
      <c r="C93" s="445" t="s">
        <v>307</v>
      </c>
      <c r="D93" s="430">
        <v>694</v>
      </c>
      <c r="E93" s="328">
        <v>1621</v>
      </c>
      <c r="F93" s="336">
        <v>16000</v>
      </c>
      <c r="G93" s="318">
        <v>750</v>
      </c>
      <c r="H93" s="320">
        <v>1500</v>
      </c>
      <c r="I93" s="321">
        <v>3000</v>
      </c>
      <c r="J93" s="437"/>
      <c r="K93" s="821" t="s">
        <v>110</v>
      </c>
      <c r="L93" s="441" t="s">
        <v>1</v>
      </c>
      <c r="M93" s="300">
        <v>0</v>
      </c>
      <c r="N93" s="516"/>
      <c r="O93" s="516"/>
      <c r="P93" s="396"/>
      <c r="Q93" s="535"/>
      <c r="R93" s="325"/>
      <c r="S93" s="325"/>
      <c r="T93" s="325"/>
    </row>
    <row r="94" spans="1:20" x14ac:dyDescent="0.25">
      <c r="B94" s="898"/>
      <c r="C94" s="333" t="s">
        <v>308</v>
      </c>
      <c r="D94" s="430">
        <v>515</v>
      </c>
      <c r="E94" s="328">
        <v>606</v>
      </c>
      <c r="F94" s="336">
        <v>7000</v>
      </c>
      <c r="G94" s="314">
        <v>500</v>
      </c>
      <c r="H94" s="314">
        <v>1000</v>
      </c>
      <c r="I94" s="315">
        <v>2000</v>
      </c>
      <c r="J94" s="437"/>
      <c r="K94" s="822"/>
      <c r="L94" s="441" t="s">
        <v>112</v>
      </c>
      <c r="M94" s="348">
        <v>1.6E-2</v>
      </c>
      <c r="N94" s="899" t="s">
        <v>309</v>
      </c>
      <c r="O94" s="899" t="s">
        <v>72</v>
      </c>
      <c r="P94" s="397"/>
      <c r="Q94" s="536"/>
      <c r="R94" s="325"/>
      <c r="S94" s="325"/>
      <c r="T94" s="325"/>
    </row>
    <row r="95" spans="1:20" x14ac:dyDescent="0.25">
      <c r="B95" s="817" t="s">
        <v>310</v>
      </c>
      <c r="C95" s="332" t="s">
        <v>311</v>
      </c>
      <c r="D95" s="427">
        <v>133</v>
      </c>
      <c r="E95" s="428">
        <v>353</v>
      </c>
      <c r="F95" s="334">
        <v>6000</v>
      </c>
      <c r="G95" s="316">
        <v>500</v>
      </c>
      <c r="H95" s="316">
        <v>1000</v>
      </c>
      <c r="I95" s="317">
        <v>2000</v>
      </c>
      <c r="J95" s="437"/>
      <c r="K95" s="822"/>
      <c r="L95" s="442" t="s">
        <v>117</v>
      </c>
      <c r="M95" s="348">
        <v>0.1</v>
      </c>
      <c r="N95" s="825"/>
      <c r="O95" s="825"/>
      <c r="P95" s="397"/>
      <c r="Q95" s="536"/>
      <c r="R95" s="325"/>
      <c r="S95" s="325"/>
      <c r="T95" s="325"/>
    </row>
    <row r="96" spans="1:20" x14ac:dyDescent="0.25">
      <c r="B96" s="898"/>
      <c r="C96" s="445" t="s">
        <v>312</v>
      </c>
      <c r="D96" s="430">
        <v>322</v>
      </c>
      <c r="E96" s="328">
        <v>1195</v>
      </c>
      <c r="F96" s="336">
        <v>43000</v>
      </c>
      <c r="G96" s="318">
        <v>2000</v>
      </c>
      <c r="H96" s="318">
        <v>4000</v>
      </c>
      <c r="I96" s="319">
        <v>8000</v>
      </c>
      <c r="J96" s="437"/>
      <c r="K96" s="822"/>
      <c r="L96" s="441" t="s">
        <v>119</v>
      </c>
      <c r="M96" s="400" t="s">
        <v>72</v>
      </c>
      <c r="N96" s="534"/>
      <c r="O96" s="537"/>
      <c r="P96" s="537"/>
      <c r="Q96" s="535"/>
      <c r="R96" s="325"/>
      <c r="S96" s="325"/>
      <c r="T96" s="325"/>
    </row>
    <row r="97" spans="2:20" x14ac:dyDescent="0.25">
      <c r="B97" s="898"/>
      <c r="C97" s="445" t="s">
        <v>313</v>
      </c>
      <c r="D97" s="430">
        <v>139</v>
      </c>
      <c r="E97" s="328">
        <v>2151</v>
      </c>
      <c r="F97" s="336">
        <v>46000</v>
      </c>
      <c r="G97" s="318">
        <v>2000</v>
      </c>
      <c r="H97" s="318">
        <v>4000</v>
      </c>
      <c r="I97" s="319">
        <v>8000</v>
      </c>
      <c r="J97" s="437"/>
      <c r="K97" s="822"/>
      <c r="L97" s="538" t="s">
        <v>39</v>
      </c>
      <c r="M97" s="758">
        <f>SUM(M93:M96)</f>
        <v>0.11600000000000001</v>
      </c>
      <c r="N97" s="391"/>
      <c r="O97" s="392"/>
      <c r="P97" s="759">
        <v>3300</v>
      </c>
      <c r="Q97" s="539"/>
      <c r="R97" s="325"/>
      <c r="S97" s="325"/>
      <c r="T97" s="325"/>
    </row>
    <row r="98" spans="2:20" x14ac:dyDescent="0.25">
      <c r="B98" s="898"/>
      <c r="C98" s="445" t="s">
        <v>244</v>
      </c>
      <c r="D98" s="430">
        <v>365</v>
      </c>
      <c r="E98" s="328"/>
      <c r="F98" s="336">
        <v>35000</v>
      </c>
      <c r="G98" s="318">
        <v>1000</v>
      </c>
      <c r="H98" s="318">
        <v>2000</v>
      </c>
      <c r="I98" s="319">
        <v>4000</v>
      </c>
      <c r="J98" s="437"/>
      <c r="K98" s="831" t="s">
        <v>41</v>
      </c>
      <c r="L98" s="441" t="s">
        <v>1</v>
      </c>
      <c r="M98" s="300">
        <v>0</v>
      </c>
      <c r="N98" s="516"/>
      <c r="O98" s="516"/>
      <c r="P98" s="396"/>
      <c r="Q98" s="535"/>
      <c r="R98" s="325"/>
      <c r="S98" s="325"/>
      <c r="T98" s="325"/>
    </row>
    <row r="99" spans="2:20" x14ac:dyDescent="0.25">
      <c r="B99" s="898"/>
      <c r="C99" s="445" t="s">
        <v>314</v>
      </c>
      <c r="D99" s="430">
        <v>563</v>
      </c>
      <c r="E99" s="328">
        <v>1433</v>
      </c>
      <c r="F99" s="336">
        <v>18000</v>
      </c>
      <c r="G99" s="318">
        <v>1000</v>
      </c>
      <c r="H99" s="318">
        <v>2000</v>
      </c>
      <c r="I99" s="319">
        <v>4000</v>
      </c>
      <c r="J99" s="437"/>
      <c r="K99" s="832"/>
      <c r="L99" s="441" t="s">
        <v>112</v>
      </c>
      <c r="M99" s="348">
        <v>0.121</v>
      </c>
      <c r="N99" s="398"/>
      <c r="O99" s="398"/>
      <c r="P99" s="397"/>
      <c r="Q99" s="536"/>
      <c r="R99" s="325"/>
      <c r="S99" s="325"/>
      <c r="T99" s="325"/>
    </row>
    <row r="100" spans="2:20" x14ac:dyDescent="0.25">
      <c r="B100" s="898"/>
      <c r="C100" s="445" t="s">
        <v>315</v>
      </c>
      <c r="D100" s="430">
        <v>163</v>
      </c>
      <c r="E100" s="328">
        <v>263</v>
      </c>
      <c r="F100" s="336">
        <v>7000</v>
      </c>
      <c r="G100" s="318">
        <v>500</v>
      </c>
      <c r="H100" s="318">
        <v>1000</v>
      </c>
      <c r="I100" s="319">
        <v>2000</v>
      </c>
      <c r="J100" s="437"/>
      <c r="K100" s="832"/>
      <c r="L100" s="442" t="s">
        <v>117</v>
      </c>
      <c r="M100" s="349">
        <f>M95</f>
        <v>0.1</v>
      </c>
      <c r="N100" s="395"/>
      <c r="O100" s="395"/>
      <c r="P100" s="397"/>
      <c r="Q100" s="536"/>
      <c r="R100" s="325"/>
      <c r="S100" s="325"/>
      <c r="T100" s="325"/>
    </row>
    <row r="101" spans="2:20" x14ac:dyDescent="0.25">
      <c r="B101" s="898"/>
      <c r="C101" s="445" t="s">
        <v>316</v>
      </c>
      <c r="D101" s="430">
        <v>190</v>
      </c>
      <c r="E101" s="328">
        <v>656</v>
      </c>
      <c r="F101" s="336">
        <v>9000</v>
      </c>
      <c r="G101" s="318">
        <v>500</v>
      </c>
      <c r="H101" s="318">
        <v>1000</v>
      </c>
      <c r="I101" s="319">
        <v>2000</v>
      </c>
      <c r="J101" s="437"/>
      <c r="K101" s="832"/>
      <c r="L101" s="441" t="s">
        <v>119</v>
      </c>
      <c r="M101" s="348" t="s">
        <v>72</v>
      </c>
      <c r="N101" s="516"/>
      <c r="O101" s="516"/>
      <c r="P101" s="399"/>
      <c r="Q101" s="393"/>
      <c r="R101" s="325"/>
      <c r="S101" s="325"/>
      <c r="T101" s="325"/>
    </row>
    <row r="102" spans="2:20" x14ac:dyDescent="0.25">
      <c r="B102" s="898"/>
      <c r="C102" s="445" t="s">
        <v>317</v>
      </c>
      <c r="D102" s="430">
        <v>530</v>
      </c>
      <c r="E102" s="328">
        <v>1572</v>
      </c>
      <c r="F102" s="336">
        <v>22000</v>
      </c>
      <c r="G102" s="318">
        <v>1000</v>
      </c>
      <c r="H102" s="318">
        <v>2000</v>
      </c>
      <c r="I102" s="319">
        <v>4000</v>
      </c>
      <c r="J102" s="437"/>
      <c r="K102" s="833"/>
      <c r="L102" s="538" t="s">
        <v>39</v>
      </c>
      <c r="M102" s="394">
        <f>SUM(M98:M101)</f>
        <v>0.221</v>
      </c>
      <c r="N102" s="540">
        <f>N99</f>
        <v>0</v>
      </c>
      <c r="O102" s="540">
        <f>O99</f>
        <v>0</v>
      </c>
      <c r="P102" s="401">
        <v>18500</v>
      </c>
      <c r="Q102" s="539"/>
      <c r="R102" s="325"/>
      <c r="S102" s="325"/>
      <c r="T102" s="325"/>
    </row>
    <row r="103" spans="2:20" x14ac:dyDescent="0.25">
      <c r="B103" s="900"/>
      <c r="C103" s="445" t="s">
        <v>318</v>
      </c>
      <c r="D103" s="430">
        <v>13</v>
      </c>
      <c r="E103" s="328"/>
      <c r="F103" s="327"/>
      <c r="G103" s="318">
        <v>750</v>
      </c>
      <c r="H103" s="320">
        <v>1500</v>
      </c>
      <c r="I103" s="321">
        <v>3000</v>
      </c>
      <c r="J103" s="437"/>
      <c r="R103" s="325"/>
      <c r="S103" s="325"/>
      <c r="T103" s="325"/>
    </row>
    <row r="104" spans="2:20" x14ac:dyDescent="0.25">
      <c r="B104" s="343" t="s">
        <v>47</v>
      </c>
      <c r="C104" s="344"/>
      <c r="D104" s="345">
        <f t="shared" ref="D104:I104" si="0">SUM(D61:D103)</f>
        <v>5995</v>
      </c>
      <c r="E104" s="346">
        <f t="shared" si="0"/>
        <v>18699</v>
      </c>
      <c r="F104" s="347">
        <f t="shared" si="0"/>
        <v>671000</v>
      </c>
      <c r="G104" s="345">
        <f t="shared" si="0"/>
        <v>31750</v>
      </c>
      <c r="H104" s="346">
        <f t="shared" si="0"/>
        <v>63500</v>
      </c>
      <c r="I104" s="347">
        <f t="shared" si="0"/>
        <v>127000</v>
      </c>
      <c r="J104" s="437"/>
      <c r="K104" s="842" t="s">
        <v>125</v>
      </c>
      <c r="L104" s="901"/>
      <c r="M104" s="352" t="s">
        <v>50</v>
      </c>
      <c r="N104" s="353"/>
      <c r="O104" s="354"/>
      <c r="P104" s="350" t="s">
        <v>319</v>
      </c>
      <c r="Q104" s="355"/>
      <c r="R104" s="325"/>
      <c r="S104" s="325"/>
      <c r="T104" s="325"/>
    </row>
    <row r="105" spans="2:20" x14ac:dyDescent="0.25">
      <c r="B105" s="895" t="s">
        <v>320</v>
      </c>
      <c r="C105" s="446" t="s">
        <v>129</v>
      </c>
      <c r="D105" s="427">
        <v>0</v>
      </c>
      <c r="E105" s="428"/>
      <c r="F105" s="438"/>
      <c r="G105" s="316"/>
      <c r="H105" s="316"/>
      <c r="I105" s="317"/>
      <c r="J105" s="437"/>
      <c r="K105" s="844"/>
      <c r="L105" s="902"/>
      <c r="M105" s="575" t="s">
        <v>58</v>
      </c>
      <c r="N105" s="768" t="s">
        <v>59</v>
      </c>
      <c r="O105" s="512" t="s">
        <v>60</v>
      </c>
      <c r="P105" s="512" t="s">
        <v>61</v>
      </c>
      <c r="Q105" s="513" t="s">
        <v>62</v>
      </c>
      <c r="R105" s="325"/>
      <c r="S105" s="325"/>
      <c r="T105" s="325"/>
    </row>
    <row r="106" spans="2:20" x14ac:dyDescent="0.25">
      <c r="B106" s="903"/>
      <c r="C106" s="447" t="s">
        <v>321</v>
      </c>
      <c r="D106" s="430">
        <v>0</v>
      </c>
      <c r="E106" s="328"/>
      <c r="F106" s="327"/>
      <c r="G106" s="318"/>
      <c r="H106" s="318"/>
      <c r="I106" s="319"/>
      <c r="J106" s="437"/>
      <c r="K106" s="519" t="s">
        <v>43</v>
      </c>
      <c r="L106" s="520"/>
      <c r="M106" s="365">
        <f>M107+M108</f>
        <v>106900</v>
      </c>
      <c r="N106" s="356"/>
      <c r="O106" s="449"/>
      <c r="P106" s="449"/>
      <c r="Q106" s="521"/>
      <c r="R106" s="325"/>
      <c r="S106" s="325"/>
      <c r="T106" s="325"/>
    </row>
    <row r="107" spans="2:20" x14ac:dyDescent="0.25">
      <c r="B107" s="903"/>
      <c r="C107" s="447" t="s">
        <v>322</v>
      </c>
      <c r="D107" s="430">
        <v>0</v>
      </c>
      <c r="E107" s="328"/>
      <c r="F107" s="327"/>
      <c r="G107" s="318"/>
      <c r="H107" s="318"/>
      <c r="I107" s="319"/>
      <c r="J107" s="437"/>
      <c r="K107" s="441"/>
      <c r="L107" s="298" t="s">
        <v>110</v>
      </c>
      <c r="M107" s="359">
        <v>27900</v>
      </c>
      <c r="N107" s="360"/>
      <c r="O107" s="581"/>
      <c r="P107" s="581"/>
      <c r="Q107" s="515"/>
      <c r="R107" s="325"/>
      <c r="S107" s="325"/>
      <c r="T107" s="325"/>
    </row>
    <row r="108" spans="2:20" x14ac:dyDescent="0.25">
      <c r="B108" s="903"/>
      <c r="C108" s="447" t="s">
        <v>323</v>
      </c>
      <c r="D108" s="430">
        <v>0</v>
      </c>
      <c r="E108" s="328"/>
      <c r="F108" s="327"/>
      <c r="G108" s="318"/>
      <c r="H108" s="318"/>
      <c r="I108" s="319"/>
      <c r="J108" s="437"/>
      <c r="K108" s="441"/>
      <c r="L108" s="298" t="s">
        <v>41</v>
      </c>
      <c r="M108" s="359">
        <v>79000</v>
      </c>
      <c r="N108" s="361"/>
      <c r="O108" s="581"/>
      <c r="P108" s="367">
        <v>264500</v>
      </c>
      <c r="Q108" s="368">
        <v>450000</v>
      </c>
      <c r="R108" s="325"/>
      <c r="S108" s="325"/>
      <c r="T108" s="325"/>
    </row>
    <row r="109" spans="2:20" x14ac:dyDescent="0.25">
      <c r="B109" s="903"/>
      <c r="C109" s="447" t="s">
        <v>324</v>
      </c>
      <c r="D109" s="430">
        <v>0</v>
      </c>
      <c r="E109" s="328"/>
      <c r="F109" s="327"/>
      <c r="G109" s="318"/>
      <c r="H109" s="318"/>
      <c r="I109" s="319"/>
      <c r="J109" s="437"/>
      <c r="K109" s="302"/>
      <c r="L109" s="305" t="s">
        <v>136</v>
      </c>
      <c r="M109" s="364">
        <f>M108/M106</f>
        <v>0.73900841908325543</v>
      </c>
      <c r="N109" s="362"/>
      <c r="O109" s="517"/>
      <c r="P109" s="517"/>
      <c r="Q109" s="518"/>
      <c r="R109" s="325"/>
      <c r="S109" s="325"/>
      <c r="T109" s="325"/>
    </row>
    <row r="110" spans="2:20" x14ac:dyDescent="0.25">
      <c r="B110" s="903"/>
      <c r="C110" s="447" t="s">
        <v>132</v>
      </c>
      <c r="D110" s="430">
        <v>0</v>
      </c>
      <c r="E110" s="328"/>
      <c r="F110" s="327"/>
      <c r="G110" s="318"/>
      <c r="H110" s="318"/>
      <c r="I110" s="319"/>
      <c r="J110" s="437"/>
      <c r="K110" s="283" t="s">
        <v>325</v>
      </c>
      <c r="L110" s="520"/>
      <c r="M110" s="366">
        <f>M111+M112</f>
        <v>72900</v>
      </c>
      <c r="N110" s="403">
        <f>SUM(F61:F103)</f>
        <v>671000</v>
      </c>
      <c r="O110" s="449"/>
      <c r="P110" s="449"/>
      <c r="Q110" s="521"/>
      <c r="R110" s="325"/>
      <c r="S110" s="325"/>
      <c r="T110" s="325"/>
    </row>
    <row r="111" spans="2:20" x14ac:dyDescent="0.25">
      <c r="B111" s="903"/>
      <c r="C111" s="447" t="s">
        <v>326</v>
      </c>
      <c r="D111" s="430">
        <v>0</v>
      </c>
      <c r="E111" s="328"/>
      <c r="F111" s="327"/>
      <c r="G111" s="318"/>
      <c r="H111" s="318"/>
      <c r="I111" s="319"/>
      <c r="J111" s="437"/>
      <c r="K111" s="441"/>
      <c r="L111" s="298" t="s">
        <v>110</v>
      </c>
      <c r="M111" s="363">
        <v>17300</v>
      </c>
      <c r="O111" s="581"/>
      <c r="P111" s="581"/>
      <c r="Q111" s="515"/>
      <c r="R111" s="325"/>
      <c r="S111" s="325"/>
      <c r="T111" s="325"/>
    </row>
    <row r="112" spans="2:20" x14ac:dyDescent="0.25">
      <c r="B112" s="904"/>
      <c r="C112" s="337" t="s">
        <v>327</v>
      </c>
      <c r="D112" s="433">
        <v>0</v>
      </c>
      <c r="E112" s="444"/>
      <c r="F112" s="326"/>
      <c r="G112" s="314"/>
      <c r="H112" s="314"/>
      <c r="I112" s="315"/>
      <c r="J112" s="437"/>
      <c r="K112" s="441"/>
      <c r="L112" s="298" t="s">
        <v>41</v>
      </c>
      <c r="M112" s="359">
        <v>55600</v>
      </c>
      <c r="N112" s="361"/>
      <c r="O112" s="581"/>
      <c r="P112" s="508">
        <v>72792</v>
      </c>
      <c r="Q112" s="509">
        <v>90000</v>
      </c>
      <c r="R112" s="325"/>
      <c r="S112" s="325"/>
      <c r="T112" s="325"/>
    </row>
    <row r="113" spans="2:20" x14ac:dyDescent="0.25">
      <c r="B113" s="895" t="s">
        <v>328</v>
      </c>
      <c r="C113" s="304" t="s">
        <v>329</v>
      </c>
      <c r="D113" s="427">
        <v>0</v>
      </c>
      <c r="E113" s="428"/>
      <c r="F113" s="438"/>
      <c r="G113" s="316"/>
      <c r="H113" s="316"/>
      <c r="I113" s="317"/>
      <c r="J113" s="437"/>
      <c r="K113" s="302"/>
      <c r="L113" s="305" t="s">
        <v>136</v>
      </c>
      <c r="M113" s="364">
        <f>M112/M110</f>
        <v>0.76268861454046644</v>
      </c>
      <c r="N113" s="362"/>
      <c r="O113" s="517"/>
      <c r="P113" s="517"/>
      <c r="Q113" s="518"/>
      <c r="R113" s="325"/>
      <c r="S113" s="325"/>
      <c r="T113" s="325"/>
    </row>
    <row r="114" spans="2:20" x14ac:dyDescent="0.25">
      <c r="B114" s="896"/>
      <c r="C114" s="442" t="s">
        <v>330</v>
      </c>
      <c r="D114" s="430">
        <v>0</v>
      </c>
      <c r="E114" s="328"/>
      <c r="F114" s="327"/>
      <c r="G114" s="318"/>
      <c r="H114" s="318"/>
      <c r="I114" s="319"/>
      <c r="J114" s="437"/>
      <c r="K114" s="283" t="s">
        <v>45</v>
      </c>
      <c r="L114" s="520"/>
      <c r="M114" s="520"/>
      <c r="N114" s="356"/>
      <c r="O114" s="449"/>
      <c r="P114" s="449"/>
      <c r="Q114" s="521"/>
      <c r="R114" s="325"/>
      <c r="S114" s="325"/>
      <c r="T114" s="325"/>
    </row>
    <row r="115" spans="2:20" x14ac:dyDescent="0.25">
      <c r="B115" s="897"/>
      <c r="C115" s="443" t="s">
        <v>331</v>
      </c>
      <c r="D115" s="430">
        <v>0</v>
      </c>
      <c r="E115" s="328"/>
      <c r="F115" s="327"/>
      <c r="G115" s="314"/>
      <c r="H115" s="314"/>
      <c r="I115" s="315"/>
      <c r="J115" s="437"/>
      <c r="K115" s="522"/>
      <c r="L115" s="298" t="s">
        <v>110</v>
      </c>
      <c r="M115" s="298"/>
      <c r="N115" s="516"/>
      <c r="O115" s="581"/>
      <c r="P115" s="581"/>
      <c r="Q115" s="515"/>
      <c r="R115" s="325"/>
      <c r="S115" s="325"/>
      <c r="T115" s="325"/>
    </row>
    <row r="116" spans="2:20" x14ac:dyDescent="0.25">
      <c r="B116" s="895" t="s">
        <v>332</v>
      </c>
      <c r="C116" s="338" t="s">
        <v>333</v>
      </c>
      <c r="D116" s="427">
        <v>0</v>
      </c>
      <c r="E116" s="428"/>
      <c r="F116" s="438"/>
      <c r="G116" s="316"/>
      <c r="H116" s="316"/>
      <c r="I116" s="317"/>
      <c r="J116" s="437"/>
      <c r="K116" s="522"/>
      <c r="L116" s="298" t="s">
        <v>41</v>
      </c>
      <c r="M116" s="298"/>
      <c r="N116" s="516"/>
      <c r="O116" s="581"/>
      <c r="P116" s="581"/>
      <c r="Q116" s="515"/>
      <c r="R116" s="325"/>
      <c r="S116" s="325"/>
      <c r="T116" s="325"/>
    </row>
    <row r="117" spans="2:20" x14ac:dyDescent="0.25">
      <c r="B117" s="896"/>
      <c r="C117" s="339" t="s">
        <v>334</v>
      </c>
      <c r="D117" s="430">
        <v>0</v>
      </c>
      <c r="E117" s="328"/>
      <c r="F117" s="327"/>
      <c r="G117" s="318"/>
      <c r="H117" s="318"/>
      <c r="I117" s="319"/>
      <c r="J117" s="437"/>
      <c r="K117" s="302"/>
      <c r="L117" s="305" t="s">
        <v>136</v>
      </c>
      <c r="M117" s="305"/>
      <c r="N117" s="303"/>
      <c r="O117" s="517"/>
      <c r="P117" s="517"/>
      <c r="Q117" s="518"/>
      <c r="R117" s="325"/>
      <c r="S117" s="325"/>
      <c r="T117" s="325"/>
    </row>
    <row r="118" spans="2:20" x14ac:dyDescent="0.25">
      <c r="B118" s="896"/>
      <c r="C118" s="339" t="s">
        <v>335</v>
      </c>
      <c r="D118" s="430">
        <v>0</v>
      </c>
      <c r="E118" s="328"/>
      <c r="F118" s="327"/>
      <c r="G118" s="318"/>
      <c r="H118" s="318"/>
      <c r="I118" s="319"/>
      <c r="J118" s="437"/>
      <c r="K118" s="283" t="s">
        <v>336</v>
      </c>
      <c r="L118" s="357"/>
      <c r="M118" s="520"/>
      <c r="N118" s="301"/>
      <c r="O118" s="449"/>
      <c r="P118" s="449"/>
      <c r="Q118" s="521"/>
      <c r="R118" s="325"/>
      <c r="S118" s="325"/>
      <c r="T118" s="325"/>
    </row>
    <row r="119" spans="2:20" x14ac:dyDescent="0.25">
      <c r="B119" s="896"/>
      <c r="C119" s="339" t="s">
        <v>337</v>
      </c>
      <c r="D119" s="430">
        <v>0</v>
      </c>
      <c r="E119" s="328"/>
      <c r="F119" s="327"/>
      <c r="G119" s="318"/>
      <c r="H119" s="318"/>
      <c r="I119" s="319"/>
      <c r="J119" s="437"/>
      <c r="K119" s="522"/>
      <c r="L119" s="298" t="s">
        <v>110</v>
      </c>
      <c r="M119" s="298"/>
      <c r="N119" s="516"/>
      <c r="O119" s="523"/>
      <c r="P119" s="523"/>
      <c r="Q119" s="358"/>
      <c r="R119" s="325"/>
      <c r="S119" s="325"/>
      <c r="T119" s="325"/>
    </row>
    <row r="120" spans="2:20" x14ac:dyDescent="0.25">
      <c r="B120" s="897"/>
      <c r="C120" s="340" t="s">
        <v>338</v>
      </c>
      <c r="D120" s="430">
        <v>0</v>
      </c>
      <c r="E120" s="328"/>
      <c r="F120" s="327"/>
      <c r="G120" s="314"/>
      <c r="H120" s="314"/>
      <c r="I120" s="315"/>
      <c r="J120" s="437"/>
      <c r="K120" s="522"/>
      <c r="L120" s="298" t="s">
        <v>41</v>
      </c>
      <c r="M120" s="298"/>
      <c r="N120" s="516"/>
      <c r="O120" s="523"/>
      <c r="P120" s="523"/>
      <c r="Q120" s="358"/>
      <c r="R120" s="325"/>
      <c r="S120" s="325"/>
      <c r="T120" s="325"/>
    </row>
    <row r="121" spans="2:20" x14ac:dyDescent="0.25">
      <c r="B121" s="895" t="s">
        <v>339</v>
      </c>
      <c r="C121" s="338" t="s">
        <v>340</v>
      </c>
      <c r="D121" s="427">
        <v>0</v>
      </c>
      <c r="E121" s="428"/>
      <c r="F121" s="438"/>
      <c r="G121" s="316"/>
      <c r="H121" s="316"/>
      <c r="I121" s="317"/>
      <c r="J121" s="437"/>
      <c r="K121" s="302"/>
      <c r="L121" s="305" t="s">
        <v>136</v>
      </c>
      <c r="M121" s="305"/>
      <c r="N121" s="303"/>
      <c r="O121" s="517"/>
      <c r="P121" s="517"/>
      <c r="Q121" s="518"/>
      <c r="R121" s="325"/>
      <c r="S121" s="325"/>
      <c r="T121" s="325"/>
    </row>
    <row r="122" spans="2:20" x14ac:dyDescent="0.25">
      <c r="B122" s="903"/>
      <c r="C122" s="339" t="s">
        <v>341</v>
      </c>
      <c r="D122" s="430">
        <v>0</v>
      </c>
      <c r="E122" s="328"/>
      <c r="F122" s="327"/>
      <c r="G122" s="318"/>
      <c r="H122" s="318"/>
      <c r="I122" s="319"/>
      <c r="J122" s="437"/>
      <c r="K122" s="325"/>
      <c r="L122" s="306"/>
      <c r="M122" s="306"/>
      <c r="N122" s="306"/>
      <c r="O122" s="437"/>
      <c r="P122" s="325"/>
      <c r="Q122" s="325"/>
      <c r="R122" s="325"/>
      <c r="S122" s="325"/>
      <c r="T122" s="325"/>
    </row>
    <row r="123" spans="2:20" x14ac:dyDescent="0.25">
      <c r="B123" s="903"/>
      <c r="C123" s="339" t="s">
        <v>342</v>
      </c>
      <c r="D123" s="430">
        <v>0</v>
      </c>
      <c r="E123" s="328"/>
      <c r="F123" s="327"/>
      <c r="G123" s="318"/>
      <c r="H123" s="318"/>
      <c r="I123" s="319"/>
      <c r="J123" s="437"/>
      <c r="K123" s="325"/>
      <c r="L123" s="306"/>
      <c r="M123" s="306"/>
      <c r="N123" s="306"/>
      <c r="O123" s="437"/>
      <c r="P123" s="325"/>
      <c r="Q123" s="325"/>
      <c r="R123" s="325"/>
      <c r="S123" s="325"/>
      <c r="T123" s="325"/>
    </row>
    <row r="124" spans="2:20" x14ac:dyDescent="0.25">
      <c r="B124" s="904"/>
      <c r="C124" s="340" t="s">
        <v>343</v>
      </c>
      <c r="D124" s="430">
        <v>0</v>
      </c>
      <c r="E124" s="328"/>
      <c r="F124" s="327"/>
      <c r="G124" s="314"/>
      <c r="H124" s="314"/>
      <c r="I124" s="315"/>
      <c r="J124" s="437"/>
      <c r="K124" s="325"/>
      <c r="L124" s="306"/>
      <c r="M124" s="306"/>
      <c r="N124" s="306"/>
      <c r="O124" s="437"/>
      <c r="P124" s="325"/>
      <c r="Q124" s="325"/>
      <c r="R124" s="325"/>
      <c r="S124" s="325"/>
      <c r="T124" s="325"/>
    </row>
    <row r="125" spans="2:20" x14ac:dyDescent="0.25">
      <c r="B125" s="895" t="s">
        <v>344</v>
      </c>
      <c r="C125" s="297" t="s">
        <v>345</v>
      </c>
      <c r="D125" s="427">
        <v>0</v>
      </c>
      <c r="E125" s="428"/>
      <c r="F125" s="438"/>
      <c r="G125" s="316"/>
      <c r="H125" s="316"/>
      <c r="I125" s="317"/>
      <c r="J125" s="437"/>
      <c r="K125" s="325"/>
      <c r="L125" s="306"/>
      <c r="M125" s="306"/>
      <c r="N125" s="306"/>
      <c r="O125" s="437"/>
      <c r="P125" s="325"/>
      <c r="Q125" s="325"/>
      <c r="R125" s="325"/>
      <c r="S125" s="325"/>
      <c r="T125" s="325"/>
    </row>
    <row r="126" spans="2:20" x14ac:dyDescent="0.25">
      <c r="B126" s="896"/>
      <c r="C126" s="296" t="s">
        <v>346</v>
      </c>
      <c r="D126" s="430">
        <v>0</v>
      </c>
      <c r="E126" s="328"/>
      <c r="F126" s="327"/>
      <c r="G126" s="318"/>
      <c r="H126" s="318"/>
      <c r="I126" s="319"/>
      <c r="J126" s="437"/>
      <c r="K126" s="325"/>
      <c r="L126" s="306"/>
      <c r="M126" s="306"/>
      <c r="N126" s="306"/>
      <c r="O126" s="437"/>
      <c r="P126" s="325"/>
      <c r="Q126" s="325"/>
      <c r="R126" s="325"/>
      <c r="S126" s="325"/>
      <c r="T126" s="325"/>
    </row>
    <row r="127" spans="2:20" x14ac:dyDescent="0.25">
      <c r="B127" s="896"/>
      <c r="C127" s="296" t="s">
        <v>347</v>
      </c>
      <c r="D127" s="430">
        <v>0</v>
      </c>
      <c r="E127" s="328"/>
      <c r="F127" s="327"/>
      <c r="G127" s="318"/>
      <c r="H127" s="318"/>
      <c r="I127" s="319"/>
      <c r="J127" s="437"/>
      <c r="K127" s="325"/>
      <c r="L127" s="306"/>
      <c r="M127" s="306"/>
      <c r="N127" s="306"/>
      <c r="O127" s="437"/>
      <c r="P127" s="325"/>
      <c r="Q127" s="325"/>
      <c r="R127" s="325"/>
      <c r="S127" s="325"/>
      <c r="T127" s="325"/>
    </row>
    <row r="128" spans="2:20" x14ac:dyDescent="0.25">
      <c r="B128" s="896"/>
      <c r="C128" s="296" t="s">
        <v>348</v>
      </c>
      <c r="D128" s="430">
        <v>0</v>
      </c>
      <c r="E128" s="328"/>
      <c r="F128" s="327"/>
      <c r="G128" s="318"/>
      <c r="H128" s="318"/>
      <c r="I128" s="319"/>
      <c r="J128" s="437"/>
      <c r="K128" s="325"/>
      <c r="L128" s="306"/>
      <c r="M128" s="306"/>
      <c r="N128" s="306"/>
      <c r="O128" s="437"/>
      <c r="P128" s="325"/>
      <c r="Q128" s="325"/>
      <c r="R128" s="325"/>
      <c r="S128" s="325"/>
      <c r="T128" s="325"/>
    </row>
    <row r="129" spans="2:20" x14ac:dyDescent="0.25">
      <c r="B129" s="897"/>
      <c r="C129" s="296" t="s">
        <v>349</v>
      </c>
      <c r="D129" s="433">
        <v>0</v>
      </c>
      <c r="E129" s="444"/>
      <c r="F129" s="326"/>
      <c r="G129" s="314"/>
      <c r="H129" s="314"/>
      <c r="I129" s="315"/>
      <c r="J129" s="437"/>
      <c r="K129" s="325"/>
      <c r="L129" s="306"/>
      <c r="M129" s="306"/>
      <c r="N129" s="306"/>
      <c r="O129" s="437"/>
      <c r="P129" s="325"/>
      <c r="Q129" s="325"/>
      <c r="R129" s="325"/>
      <c r="S129" s="325"/>
      <c r="T129" s="325"/>
    </row>
    <row r="130" spans="2:20" x14ac:dyDescent="0.25">
      <c r="B130" s="524" t="s">
        <v>47</v>
      </c>
      <c r="C130" s="525"/>
      <c r="D130" s="322"/>
      <c r="E130" s="323"/>
      <c r="F130" s="323"/>
      <c r="G130" s="322"/>
      <c r="H130" s="323"/>
      <c r="I130" s="324"/>
      <c r="J130" s="437"/>
      <c r="K130" s="325"/>
      <c r="L130" s="306"/>
      <c r="M130" s="306"/>
      <c r="N130" s="306"/>
      <c r="O130" s="437"/>
      <c r="P130" s="325"/>
      <c r="Q130" s="325"/>
      <c r="R130" s="325"/>
      <c r="S130" s="325"/>
      <c r="T130" s="325"/>
    </row>
    <row r="131" spans="2:20" x14ac:dyDescent="0.25">
      <c r="J131" s="437"/>
    </row>
    <row r="132" spans="2:20" x14ac:dyDescent="0.25">
      <c r="J132" s="437"/>
    </row>
    <row r="133" spans="2:20" x14ac:dyDescent="0.25">
      <c r="J133" s="437"/>
    </row>
  </sheetData>
  <mergeCells count="18">
    <mergeCell ref="B82:B85"/>
    <mergeCell ref="R56:S56"/>
    <mergeCell ref="B61:B62"/>
    <mergeCell ref="B63:B66"/>
    <mergeCell ref="B67:B73"/>
    <mergeCell ref="B74:B81"/>
    <mergeCell ref="B125:B129"/>
    <mergeCell ref="B86:B94"/>
    <mergeCell ref="K93:K97"/>
    <mergeCell ref="N94:N95"/>
    <mergeCell ref="O94:O95"/>
    <mergeCell ref="B95:B103"/>
    <mergeCell ref="K98:K102"/>
    <mergeCell ref="K104:L105"/>
    <mergeCell ref="B105:B112"/>
    <mergeCell ref="B113:B115"/>
    <mergeCell ref="B116:B120"/>
    <mergeCell ref="B121:B12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6AF58-DB45-439B-88FA-396B4C1C1785}">
  <dimension ref="A1:BD45"/>
  <sheetViews>
    <sheetView topLeftCell="AH7" workbookViewId="0">
      <selection activeCell="AJ10" sqref="AJ10:AX21"/>
    </sheetView>
  </sheetViews>
  <sheetFormatPr defaultRowHeight="15" x14ac:dyDescent="0.25"/>
  <cols>
    <col min="1" max="14" width="9.140625" style="439"/>
    <col min="15" max="15" width="11.5703125" style="439" bestFit="1" customWidth="1"/>
    <col min="16" max="16" width="2.140625" style="439" customWidth="1"/>
    <col min="17" max="20" width="9.140625" style="439"/>
    <col min="21" max="21" width="9.7109375" style="439" customWidth="1"/>
    <col min="22" max="34" width="9.140625" style="439"/>
    <col min="35" max="35" width="2.7109375" style="420" customWidth="1"/>
    <col min="36" max="38" width="9.140625" style="420"/>
    <col min="39" max="39" width="10.85546875" style="420" customWidth="1"/>
    <col min="40" max="50" width="9.140625" style="420"/>
    <col min="51" max="51" width="1.85546875" style="420" customWidth="1"/>
    <col min="52" max="16384" width="9.140625" style="420"/>
  </cols>
  <sheetData>
    <row r="1" spans="1:56" ht="16.5" thickBot="1" x14ac:dyDescent="0.3">
      <c r="AJ1" s="474" t="s">
        <v>350</v>
      </c>
    </row>
    <row r="2" spans="1:56" ht="23.45" customHeight="1" thickTop="1" x14ac:dyDescent="0.25">
      <c r="AJ2" s="463" t="s">
        <v>54</v>
      </c>
      <c r="AK2" s="543" t="s">
        <v>351</v>
      </c>
      <c r="AL2" s="932" t="s">
        <v>352</v>
      </c>
      <c r="AM2" s="931"/>
      <c r="AN2" s="931"/>
      <c r="AO2" s="931"/>
      <c r="AP2" s="918"/>
      <c r="AQ2" s="934" t="s">
        <v>353</v>
      </c>
      <c r="AR2" s="932" t="s">
        <v>354</v>
      </c>
      <c r="AS2" s="931"/>
      <c r="AT2" s="931"/>
      <c r="AU2" s="931"/>
      <c r="AV2" s="918"/>
      <c r="AW2" s="932" t="s">
        <v>355</v>
      </c>
      <c r="AX2" s="918"/>
    </row>
    <row r="3" spans="1:56" ht="18.75" thickBot="1" x14ac:dyDescent="0.3">
      <c r="U3" s="439" t="s">
        <v>356</v>
      </c>
      <c r="AJ3" s="545" t="s">
        <v>160</v>
      </c>
      <c r="AK3" s="546" t="s">
        <v>357</v>
      </c>
      <c r="AL3" s="933"/>
      <c r="AM3" s="909"/>
      <c r="AN3" s="909"/>
      <c r="AO3" s="909"/>
      <c r="AP3" s="920"/>
      <c r="AQ3" s="935"/>
      <c r="AR3" s="933" t="s">
        <v>358</v>
      </c>
      <c r="AS3" s="909"/>
      <c r="AT3" s="909"/>
      <c r="AU3" s="909"/>
      <c r="AV3" s="920"/>
      <c r="AW3" s="937" t="s">
        <v>359</v>
      </c>
      <c r="AX3" s="919"/>
    </row>
    <row r="4" spans="1:56" ht="25.9" customHeight="1" thickTop="1" thickBot="1" x14ac:dyDescent="0.3">
      <c r="A4" s="921" t="s">
        <v>160</v>
      </c>
      <c r="B4" s="921" t="s">
        <v>360</v>
      </c>
      <c r="C4" s="921"/>
      <c r="D4" s="456"/>
      <c r="E4" s="921" t="s">
        <v>361</v>
      </c>
      <c r="F4" s="921"/>
      <c r="G4" s="921" t="s">
        <v>362</v>
      </c>
      <c r="H4" s="921"/>
      <c r="I4" s="921" t="s">
        <v>39</v>
      </c>
      <c r="J4" s="921"/>
      <c r="K4" s="921" t="s">
        <v>158</v>
      </c>
      <c r="L4" s="921"/>
      <c r="M4" s="921" t="s">
        <v>158</v>
      </c>
      <c r="N4" s="921"/>
      <c r="O4" s="456" t="s">
        <v>363</v>
      </c>
      <c r="P4" s="456"/>
      <c r="Q4" s="420" t="s">
        <v>364</v>
      </c>
      <c r="R4" s="420"/>
      <c r="S4" s="420"/>
      <c r="T4" s="420"/>
      <c r="U4" s="456"/>
      <c r="V4" s="456"/>
      <c r="W4" s="456"/>
      <c r="X4" s="456"/>
      <c r="Y4" s="456"/>
      <c r="Z4" s="456"/>
      <c r="AA4" s="456"/>
      <c r="AB4" s="456"/>
      <c r="AC4" s="456"/>
      <c r="AD4" s="456"/>
      <c r="AE4" s="456"/>
      <c r="AF4" s="456"/>
      <c r="AG4" s="456"/>
      <c r="AH4" s="456"/>
      <c r="AJ4" s="549"/>
      <c r="AK4" s="550"/>
      <c r="AL4" s="922" t="s">
        <v>365</v>
      </c>
      <c r="AM4" s="925" t="s">
        <v>366</v>
      </c>
      <c r="AN4" s="928" t="s">
        <v>367</v>
      </c>
      <c r="AO4" s="931" t="s">
        <v>362</v>
      </c>
      <c r="AP4" s="918" t="s">
        <v>368</v>
      </c>
      <c r="AQ4" s="935"/>
      <c r="AR4" s="548" t="s">
        <v>165</v>
      </c>
      <c r="AS4" s="548" t="s">
        <v>165</v>
      </c>
      <c r="AT4" s="476" t="s">
        <v>369</v>
      </c>
      <c r="AU4" s="548" t="s">
        <v>165</v>
      </c>
      <c r="AV4" s="546" t="s">
        <v>370</v>
      </c>
      <c r="AW4" s="914"/>
      <c r="AX4" s="915"/>
      <c r="AZ4" s="420" t="s">
        <v>371</v>
      </c>
    </row>
    <row r="5" spans="1:56" ht="15" customHeight="1" thickTop="1" thickBot="1" x14ac:dyDescent="0.3">
      <c r="A5" s="921"/>
      <c r="B5" s="909" t="s">
        <v>372</v>
      </c>
      <c r="C5" s="909"/>
      <c r="D5" s="455"/>
      <c r="E5" s="909" t="s">
        <v>373</v>
      </c>
      <c r="F5" s="909"/>
      <c r="G5" s="909" t="s">
        <v>374</v>
      </c>
      <c r="H5" s="909"/>
      <c r="I5" s="909" t="s">
        <v>375</v>
      </c>
      <c r="J5" s="909"/>
      <c r="K5" s="909" t="s">
        <v>376</v>
      </c>
      <c r="L5" s="909"/>
      <c r="M5" s="909" t="s">
        <v>377</v>
      </c>
      <c r="N5" s="909"/>
      <c r="O5" s="462" t="s">
        <v>378</v>
      </c>
      <c r="P5" s="462"/>
      <c r="Q5" s="475" t="s">
        <v>102</v>
      </c>
      <c r="R5" s="475"/>
      <c r="S5" s="420"/>
      <c r="T5" s="420"/>
      <c r="U5" s="462" t="s">
        <v>5</v>
      </c>
      <c r="V5" s="462"/>
      <c r="W5" s="462"/>
      <c r="X5" s="462"/>
      <c r="Y5" s="484" t="s">
        <v>379</v>
      </c>
      <c r="Z5" s="462"/>
      <c r="AA5" s="462"/>
      <c r="AB5" s="475" t="s">
        <v>380</v>
      </c>
      <c r="AC5" s="462"/>
      <c r="AD5" s="462"/>
      <c r="AE5" s="462"/>
      <c r="AF5" s="462"/>
      <c r="AG5" s="462"/>
      <c r="AH5" s="462"/>
      <c r="AJ5" s="549"/>
      <c r="AK5" s="550"/>
      <c r="AL5" s="923"/>
      <c r="AM5" s="926"/>
      <c r="AN5" s="929"/>
      <c r="AO5" s="921"/>
      <c r="AP5" s="919"/>
      <c r="AQ5" s="935"/>
      <c r="AR5" s="910" t="s">
        <v>381</v>
      </c>
      <c r="AS5" s="912" t="s">
        <v>382</v>
      </c>
      <c r="AT5" s="456" t="s">
        <v>365</v>
      </c>
      <c r="AU5" s="456" t="s">
        <v>383</v>
      </c>
      <c r="AV5" s="546" t="s">
        <v>39</v>
      </c>
      <c r="AW5" s="914"/>
      <c r="AX5" s="915"/>
      <c r="AZ5" s="475" t="s">
        <v>102</v>
      </c>
      <c r="BA5" s="475"/>
    </row>
    <row r="6" spans="1:56" ht="22.9" customHeight="1" thickTop="1" thickBot="1" x14ac:dyDescent="0.3">
      <c r="A6" s="909"/>
      <c r="B6" s="455" t="s">
        <v>39</v>
      </c>
      <c r="C6" s="455" t="s">
        <v>158</v>
      </c>
      <c r="D6" s="455" t="s">
        <v>384</v>
      </c>
      <c r="E6" s="455" t="s">
        <v>385</v>
      </c>
      <c r="F6" s="455" t="s">
        <v>386</v>
      </c>
      <c r="G6" s="455" t="s">
        <v>385</v>
      </c>
      <c r="H6" s="455" t="s">
        <v>386</v>
      </c>
      <c r="I6" s="455" t="s">
        <v>385</v>
      </c>
      <c r="J6" s="455" t="s">
        <v>386</v>
      </c>
      <c r="K6" s="455" t="s">
        <v>385</v>
      </c>
      <c r="L6" s="455" t="s">
        <v>386</v>
      </c>
      <c r="M6" s="455" t="s">
        <v>385</v>
      </c>
      <c r="N6" s="460" t="s">
        <v>386</v>
      </c>
      <c r="O6" s="479" t="s">
        <v>387</v>
      </c>
      <c r="P6" s="479"/>
      <c r="Q6" s="420" t="s">
        <v>388</v>
      </c>
      <c r="R6" s="420" t="s">
        <v>381</v>
      </c>
      <c r="S6" s="420" t="s">
        <v>362</v>
      </c>
      <c r="T6" s="420" t="s">
        <v>187</v>
      </c>
      <c r="U6" s="420" t="s">
        <v>389</v>
      </c>
      <c r="V6" s="420" t="s">
        <v>390</v>
      </c>
      <c r="W6" s="420" t="s">
        <v>362</v>
      </c>
      <c r="X6" s="420" t="s">
        <v>187</v>
      </c>
      <c r="Y6" s="420" t="s">
        <v>391</v>
      </c>
      <c r="Z6" s="420" t="s">
        <v>392</v>
      </c>
      <c r="AA6" s="420" t="s">
        <v>39</v>
      </c>
      <c r="AB6" s="420" t="s">
        <v>391</v>
      </c>
      <c r="AC6" s="420" t="s">
        <v>392</v>
      </c>
      <c r="AD6" s="420" t="s">
        <v>39</v>
      </c>
      <c r="AE6" s="420"/>
      <c r="AF6" s="420"/>
      <c r="AG6" s="420"/>
      <c r="AH6" s="479"/>
      <c r="AJ6" s="551"/>
      <c r="AK6" s="552"/>
      <c r="AL6" s="924"/>
      <c r="AM6" s="927"/>
      <c r="AN6" s="930"/>
      <c r="AO6" s="909"/>
      <c r="AP6" s="920"/>
      <c r="AQ6" s="936"/>
      <c r="AR6" s="911"/>
      <c r="AS6" s="913"/>
      <c r="AT6" s="455" t="s">
        <v>393</v>
      </c>
      <c r="AU6" s="455" t="s">
        <v>394</v>
      </c>
      <c r="AV6" s="552"/>
      <c r="AW6" s="916"/>
      <c r="AX6" s="917"/>
      <c r="AZ6" s="420" t="s">
        <v>389</v>
      </c>
      <c r="BA6" s="420" t="s">
        <v>390</v>
      </c>
      <c r="BB6" s="420" t="s">
        <v>362</v>
      </c>
      <c r="BC6" s="420" t="s">
        <v>187</v>
      </c>
      <c r="BD6" s="420" t="s">
        <v>395</v>
      </c>
    </row>
    <row r="7" spans="1:56" ht="15" customHeight="1" thickTop="1" x14ac:dyDescent="0.25">
      <c r="A7" s="456">
        <v>1980</v>
      </c>
      <c r="B7" s="457">
        <v>27323</v>
      </c>
      <c r="C7" s="457">
        <v>20968</v>
      </c>
      <c r="D7" s="457">
        <f>B7-C7</f>
        <v>6355</v>
      </c>
      <c r="E7" s="458">
        <v>35</v>
      </c>
      <c r="F7" s="547">
        <v>0.2</v>
      </c>
      <c r="G7" s="458">
        <v>674</v>
      </c>
      <c r="H7" s="547">
        <v>3.2</v>
      </c>
      <c r="I7" s="458">
        <v>709</v>
      </c>
      <c r="J7" s="547">
        <v>3.4</v>
      </c>
      <c r="K7" s="457">
        <v>13604</v>
      </c>
      <c r="L7" s="547">
        <v>64.900000000000006</v>
      </c>
      <c r="M7" s="457">
        <v>6646</v>
      </c>
      <c r="N7" s="547">
        <v>31.7</v>
      </c>
      <c r="O7" s="490">
        <f t="shared" ref="O7:O42" si="0">1-(M7/B7)</f>
        <v>0.7567617025948834</v>
      </c>
      <c r="P7" s="547"/>
      <c r="Q7" s="547"/>
      <c r="R7" s="547"/>
      <c r="S7" s="547"/>
      <c r="T7" s="547"/>
      <c r="U7" s="547"/>
      <c r="V7" s="547"/>
      <c r="W7" s="547"/>
      <c r="X7" s="547"/>
      <c r="Y7" s="547"/>
      <c r="Z7" s="547"/>
      <c r="AA7" s="547"/>
      <c r="AB7" s="547"/>
      <c r="AC7" s="547"/>
      <c r="AD7" s="547"/>
      <c r="AE7" s="547"/>
      <c r="AF7" s="547"/>
      <c r="AG7" s="547"/>
      <c r="AH7" s="547"/>
      <c r="AJ7" s="464" t="s">
        <v>396</v>
      </c>
      <c r="AK7" s="465">
        <v>63521</v>
      </c>
      <c r="AL7" s="466">
        <v>951</v>
      </c>
      <c r="AM7" s="466">
        <v>320</v>
      </c>
      <c r="AN7" s="466">
        <v>182</v>
      </c>
      <c r="AO7" s="547" t="s">
        <v>165</v>
      </c>
      <c r="AP7" s="465">
        <v>1452</v>
      </c>
      <c r="AQ7" s="465">
        <v>62069</v>
      </c>
      <c r="AR7" s="466">
        <v>0</v>
      </c>
      <c r="AS7" s="467">
        <v>1008</v>
      </c>
      <c r="AT7" s="466">
        <v>0</v>
      </c>
      <c r="AU7" s="467">
        <v>2306</v>
      </c>
      <c r="AV7" s="465">
        <v>3313</v>
      </c>
      <c r="AW7" s="467">
        <v>58756</v>
      </c>
      <c r="AX7" s="468">
        <v>0.93</v>
      </c>
    </row>
    <row r="8" spans="1:56" x14ac:dyDescent="0.25">
      <c r="A8" s="456">
        <v>1981</v>
      </c>
      <c r="B8" s="457">
        <v>35147</v>
      </c>
      <c r="C8" s="457">
        <v>24753</v>
      </c>
      <c r="D8" s="457">
        <f t="shared" ref="D8:D43" si="1">B8-C8</f>
        <v>10394</v>
      </c>
      <c r="E8" s="458">
        <v>336</v>
      </c>
      <c r="F8" s="547">
        <v>1.4</v>
      </c>
      <c r="G8" s="457">
        <v>1248</v>
      </c>
      <c r="H8" s="547">
        <v>5</v>
      </c>
      <c r="I8" s="457">
        <v>1583</v>
      </c>
      <c r="J8" s="547">
        <v>6.4</v>
      </c>
      <c r="K8" s="457">
        <v>11004</v>
      </c>
      <c r="L8" s="547">
        <v>44.5</v>
      </c>
      <c r="M8" s="457">
        <v>12153</v>
      </c>
      <c r="N8" s="547">
        <v>49.1</v>
      </c>
      <c r="O8" s="490">
        <f t="shared" si="0"/>
        <v>0.65422368907730388</v>
      </c>
      <c r="P8" s="547"/>
      <c r="Q8" s="547"/>
      <c r="R8" s="547"/>
      <c r="S8" s="547"/>
      <c r="T8" s="547"/>
      <c r="U8" s="547"/>
      <c r="V8" s="547"/>
      <c r="W8" s="547"/>
      <c r="X8" s="547"/>
      <c r="Y8" s="547"/>
      <c r="Z8" s="547"/>
      <c r="AA8" s="547"/>
      <c r="AB8" s="547"/>
      <c r="AC8" s="547"/>
      <c r="AD8" s="547"/>
      <c r="AE8" s="547"/>
      <c r="AF8" s="547"/>
      <c r="AG8" s="547"/>
      <c r="AH8" s="547"/>
      <c r="AJ8" s="464" t="s">
        <v>397</v>
      </c>
      <c r="AK8" s="465">
        <v>105481</v>
      </c>
      <c r="AL8" s="467">
        <v>2308</v>
      </c>
      <c r="AM8" s="466">
        <v>805</v>
      </c>
      <c r="AN8" s="466">
        <v>222</v>
      </c>
      <c r="AO8" s="547" t="s">
        <v>165</v>
      </c>
      <c r="AP8" s="465">
        <v>3334</v>
      </c>
      <c r="AQ8" s="465">
        <v>102146</v>
      </c>
      <c r="AR8" s="466">
        <v>0</v>
      </c>
      <c r="AS8" s="466">
        <v>208</v>
      </c>
      <c r="AT8" s="466">
        <v>0</v>
      </c>
      <c r="AU8" s="467">
        <v>5991</v>
      </c>
      <c r="AV8" s="465">
        <v>6199</v>
      </c>
      <c r="AW8" s="467">
        <v>95948</v>
      </c>
      <c r="AX8" s="468">
        <v>0.91</v>
      </c>
    </row>
    <row r="9" spans="1:56" x14ac:dyDescent="0.25">
      <c r="A9" s="456">
        <v>1982</v>
      </c>
      <c r="B9" s="457">
        <v>39908</v>
      </c>
      <c r="C9" s="457">
        <v>27601</v>
      </c>
      <c r="D9" s="457">
        <f t="shared" si="1"/>
        <v>12307</v>
      </c>
      <c r="E9" s="458">
        <v>479</v>
      </c>
      <c r="F9" s="547">
        <v>1.7</v>
      </c>
      <c r="G9" s="457">
        <v>1897</v>
      </c>
      <c r="H9" s="547">
        <v>6.9</v>
      </c>
      <c r="I9" s="457">
        <v>2376</v>
      </c>
      <c r="J9" s="547">
        <v>8.6</v>
      </c>
      <c r="K9" s="457">
        <v>13400</v>
      </c>
      <c r="L9" s="547">
        <v>48.5</v>
      </c>
      <c r="M9" s="457">
        <v>11819</v>
      </c>
      <c r="N9" s="547">
        <v>42.8</v>
      </c>
      <c r="O9" s="490">
        <f t="shared" si="0"/>
        <v>0.70384384083391804</v>
      </c>
      <c r="P9" s="547"/>
      <c r="Q9" s="547"/>
      <c r="R9" s="547"/>
      <c r="S9" s="547"/>
      <c r="T9" s="547"/>
      <c r="U9" s="547"/>
      <c r="V9" s="547"/>
      <c r="W9" s="547"/>
      <c r="X9" s="547"/>
      <c r="Y9" s="547"/>
      <c r="Z9" s="547"/>
      <c r="AA9" s="547"/>
      <c r="AB9" s="547"/>
      <c r="AC9" s="547"/>
      <c r="AD9" s="547"/>
      <c r="AE9" s="547"/>
      <c r="AF9" s="547"/>
      <c r="AG9" s="547"/>
      <c r="AH9" s="547"/>
      <c r="AJ9" s="464" t="s">
        <v>398</v>
      </c>
      <c r="AK9" s="465">
        <v>81989</v>
      </c>
      <c r="AL9" s="466">
        <v>779</v>
      </c>
      <c r="AM9" s="467">
        <v>1332</v>
      </c>
      <c r="AN9" s="466">
        <v>178</v>
      </c>
      <c r="AO9" s="547" t="s">
        <v>165</v>
      </c>
      <c r="AP9" s="465">
        <v>2289</v>
      </c>
      <c r="AQ9" s="465">
        <v>79700</v>
      </c>
      <c r="AR9" s="466">
        <v>0</v>
      </c>
      <c r="AS9" s="466">
        <v>13</v>
      </c>
      <c r="AT9" s="466">
        <v>0</v>
      </c>
      <c r="AU9" s="467">
        <v>4991</v>
      </c>
      <c r="AV9" s="465">
        <v>5004</v>
      </c>
      <c r="AW9" s="467">
        <v>74696</v>
      </c>
      <c r="AX9" s="468">
        <v>0.91</v>
      </c>
    </row>
    <row r="10" spans="1:56" x14ac:dyDescent="0.25">
      <c r="A10" s="456">
        <v>1983</v>
      </c>
      <c r="B10" s="457">
        <v>28099</v>
      </c>
      <c r="C10" s="457">
        <v>20936</v>
      </c>
      <c r="D10" s="457">
        <f t="shared" si="1"/>
        <v>7163</v>
      </c>
      <c r="E10" s="457">
        <v>1004</v>
      </c>
      <c r="F10" s="547">
        <v>4.8</v>
      </c>
      <c r="G10" s="458">
        <v>842</v>
      </c>
      <c r="H10" s="547">
        <v>4</v>
      </c>
      <c r="I10" s="457">
        <v>1846</v>
      </c>
      <c r="J10" s="547">
        <v>8.8000000000000007</v>
      </c>
      <c r="K10" s="457">
        <v>8664</v>
      </c>
      <c r="L10" s="547">
        <v>41.4</v>
      </c>
      <c r="M10" s="457">
        <v>10424</v>
      </c>
      <c r="N10" s="547">
        <v>49.8</v>
      </c>
      <c r="O10" s="490">
        <f t="shared" si="0"/>
        <v>0.62902594398377165</v>
      </c>
      <c r="P10" s="547"/>
      <c r="Q10" s="547"/>
      <c r="R10" s="547"/>
      <c r="S10" s="547"/>
      <c r="T10" s="547"/>
      <c r="U10" s="547"/>
      <c r="V10" s="547"/>
      <c r="W10" s="547"/>
      <c r="X10" s="547"/>
      <c r="Y10" s="547"/>
      <c r="Z10" s="547"/>
      <c r="AA10" s="547"/>
      <c r="AB10" s="547"/>
      <c r="AC10" s="547"/>
      <c r="AD10" s="547"/>
      <c r="AE10" s="547"/>
      <c r="AF10" s="547"/>
      <c r="AG10" s="547"/>
      <c r="AH10" s="547"/>
      <c r="AJ10" s="545">
        <v>1995</v>
      </c>
      <c r="AK10" s="469">
        <v>12792</v>
      </c>
      <c r="AL10" s="458">
        <v>0</v>
      </c>
      <c r="AM10" s="458">
        <v>9</v>
      </c>
      <c r="AN10" s="458">
        <v>2</v>
      </c>
      <c r="AO10" s="547" t="s">
        <v>165</v>
      </c>
      <c r="AP10" s="470">
        <v>11</v>
      </c>
      <c r="AQ10" s="469">
        <v>12781</v>
      </c>
      <c r="AR10" s="458">
        <v>0</v>
      </c>
      <c r="AS10" s="458">
        <v>13</v>
      </c>
      <c r="AT10" s="458">
        <v>0</v>
      </c>
      <c r="AU10" s="458">
        <v>620</v>
      </c>
      <c r="AV10" s="470">
        <v>633</v>
      </c>
      <c r="AW10" s="457">
        <v>12148</v>
      </c>
      <c r="AX10" s="471">
        <v>0.95</v>
      </c>
    </row>
    <row r="11" spans="1:56" x14ac:dyDescent="0.25">
      <c r="A11" s="456">
        <v>1984</v>
      </c>
      <c r="B11" s="457">
        <v>20971</v>
      </c>
      <c r="C11" s="457">
        <v>14119</v>
      </c>
      <c r="D11" s="457">
        <f t="shared" si="1"/>
        <v>6852</v>
      </c>
      <c r="E11" s="458">
        <v>485</v>
      </c>
      <c r="F11" s="547">
        <v>3.4</v>
      </c>
      <c r="G11" s="458">
        <v>937</v>
      </c>
      <c r="H11" s="547">
        <v>6.6</v>
      </c>
      <c r="I11" s="457">
        <v>1422</v>
      </c>
      <c r="J11" s="547">
        <v>10.1</v>
      </c>
      <c r="K11" s="457">
        <v>4427</v>
      </c>
      <c r="L11" s="547">
        <v>31.4</v>
      </c>
      <c r="M11" s="457">
        <v>8266</v>
      </c>
      <c r="N11" s="547">
        <v>58.5</v>
      </c>
      <c r="O11" s="490">
        <f t="shared" si="0"/>
        <v>0.60583663153879175</v>
      </c>
      <c r="P11" s="547"/>
      <c r="Q11" s="547"/>
      <c r="R11" s="547"/>
      <c r="S11" s="547"/>
      <c r="T11" s="547"/>
      <c r="U11" s="547"/>
      <c r="V11" s="547"/>
      <c r="W11" s="547"/>
      <c r="X11" s="547"/>
      <c r="Y11" s="547"/>
      <c r="Z11" s="547"/>
      <c r="AA11" s="547"/>
      <c r="AB11" s="547"/>
      <c r="AC11" s="547"/>
      <c r="AD11" s="547"/>
      <c r="AE11" s="547"/>
      <c r="AF11" s="547"/>
      <c r="AG11" s="547"/>
      <c r="AH11" s="547"/>
      <c r="AJ11" s="545">
        <v>1996</v>
      </c>
      <c r="AK11" s="469">
        <v>55552</v>
      </c>
      <c r="AL11" s="458">
        <v>5</v>
      </c>
      <c r="AM11" s="458">
        <v>10</v>
      </c>
      <c r="AN11" s="458">
        <v>41</v>
      </c>
      <c r="AO11" s="547" t="s">
        <v>165</v>
      </c>
      <c r="AP11" s="470">
        <v>56</v>
      </c>
      <c r="AQ11" s="469">
        <v>55496</v>
      </c>
      <c r="AR11" s="458">
        <v>0</v>
      </c>
      <c r="AS11" s="458">
        <v>0</v>
      </c>
      <c r="AT11" s="458">
        <v>0</v>
      </c>
      <c r="AU11" s="457">
        <v>2911</v>
      </c>
      <c r="AV11" s="469">
        <v>2911</v>
      </c>
      <c r="AW11" s="457">
        <v>52585</v>
      </c>
      <c r="AX11" s="471">
        <v>0.95</v>
      </c>
    </row>
    <row r="12" spans="1:56" x14ac:dyDescent="0.25">
      <c r="A12" s="456">
        <v>1985</v>
      </c>
      <c r="B12" s="457">
        <v>40694</v>
      </c>
      <c r="C12" s="457">
        <v>14865</v>
      </c>
      <c r="D12" s="457">
        <f t="shared" si="1"/>
        <v>25829</v>
      </c>
      <c r="E12" s="458">
        <v>536</v>
      </c>
      <c r="F12" s="547">
        <v>3.6</v>
      </c>
      <c r="G12" s="458">
        <v>505</v>
      </c>
      <c r="H12" s="547">
        <v>3.4</v>
      </c>
      <c r="I12" s="457">
        <v>1041</v>
      </c>
      <c r="J12" s="547">
        <v>7</v>
      </c>
      <c r="K12" s="457">
        <v>2547</v>
      </c>
      <c r="L12" s="547">
        <v>17.100000000000001</v>
      </c>
      <c r="M12" s="457">
        <v>11273</v>
      </c>
      <c r="N12" s="547">
        <v>75.8</v>
      </c>
      <c r="O12" s="490">
        <f t="shared" si="0"/>
        <v>0.72298127488081776</v>
      </c>
      <c r="P12" s="547"/>
      <c r="Q12" s="547"/>
      <c r="R12" s="547"/>
      <c r="S12" s="547"/>
      <c r="T12" s="547"/>
      <c r="U12" s="547"/>
      <c r="V12" s="547"/>
      <c r="W12" s="547"/>
      <c r="X12" s="547"/>
      <c r="Y12" s="547"/>
      <c r="Z12" s="547"/>
      <c r="AA12" s="547"/>
      <c r="AB12" s="547"/>
      <c r="AC12" s="547"/>
      <c r="AD12" s="547"/>
      <c r="AE12" s="547"/>
      <c r="AF12" s="547"/>
      <c r="AG12" s="547"/>
      <c r="AH12" s="547"/>
      <c r="AJ12" s="545">
        <v>1997</v>
      </c>
      <c r="AK12" s="469">
        <v>124321</v>
      </c>
      <c r="AL12" s="458">
        <v>9</v>
      </c>
      <c r="AM12" s="458">
        <v>16</v>
      </c>
      <c r="AN12" s="458">
        <v>44</v>
      </c>
      <c r="AO12" s="547" t="s">
        <v>165</v>
      </c>
      <c r="AP12" s="470">
        <v>69</v>
      </c>
      <c r="AQ12" s="469">
        <v>124252</v>
      </c>
      <c r="AR12" s="458">
        <v>0</v>
      </c>
      <c r="AS12" s="458">
        <v>14</v>
      </c>
      <c r="AT12" s="458">
        <v>0</v>
      </c>
      <c r="AU12" s="457">
        <v>8309</v>
      </c>
      <c r="AV12" s="469">
        <v>8323</v>
      </c>
      <c r="AW12" s="457">
        <v>115929</v>
      </c>
      <c r="AX12" s="471">
        <v>0.93</v>
      </c>
    </row>
    <row r="13" spans="1:56" x14ac:dyDescent="0.25">
      <c r="A13" s="456">
        <v>1986</v>
      </c>
      <c r="B13" s="457">
        <v>64510</v>
      </c>
      <c r="C13" s="457">
        <v>20085</v>
      </c>
      <c r="D13" s="457">
        <f t="shared" si="1"/>
        <v>44425</v>
      </c>
      <c r="E13" s="458">
        <v>409</v>
      </c>
      <c r="F13" s="547">
        <v>2</v>
      </c>
      <c r="G13" s="457">
        <v>1164</v>
      </c>
      <c r="H13" s="547">
        <v>5.8</v>
      </c>
      <c r="I13" s="457">
        <v>1574</v>
      </c>
      <c r="J13" s="547">
        <v>7.8</v>
      </c>
      <c r="K13" s="457">
        <v>6517</v>
      </c>
      <c r="L13" s="547">
        <v>32.4</v>
      </c>
      <c r="M13" s="457">
        <v>11989</v>
      </c>
      <c r="N13" s="547">
        <v>59.7</v>
      </c>
      <c r="O13" s="490">
        <f t="shared" si="0"/>
        <v>0.8141528445202294</v>
      </c>
      <c r="P13" s="547"/>
      <c r="Q13" s="547"/>
      <c r="R13" s="547"/>
      <c r="S13" s="547"/>
      <c r="T13" s="547"/>
      <c r="U13" s="547"/>
      <c r="V13" s="547"/>
      <c r="W13" s="547"/>
      <c r="X13" s="547"/>
      <c r="Y13" s="547"/>
      <c r="Z13" s="547"/>
      <c r="AA13" s="547"/>
      <c r="AB13" s="547"/>
      <c r="AC13" s="547"/>
      <c r="AD13" s="547"/>
      <c r="AE13" s="547"/>
      <c r="AF13" s="547"/>
      <c r="AG13" s="547"/>
      <c r="AH13" s="547"/>
      <c r="AJ13" s="545">
        <v>1998</v>
      </c>
      <c r="AK13" s="469">
        <v>44308</v>
      </c>
      <c r="AL13" s="458">
        <v>0</v>
      </c>
      <c r="AM13" s="458">
        <v>14</v>
      </c>
      <c r="AN13" s="458">
        <v>27</v>
      </c>
      <c r="AO13" s="547" t="s">
        <v>165</v>
      </c>
      <c r="AP13" s="470">
        <v>41</v>
      </c>
      <c r="AQ13" s="469">
        <v>44267</v>
      </c>
      <c r="AR13" s="458">
        <v>0</v>
      </c>
      <c r="AS13" s="458">
        <v>1</v>
      </c>
      <c r="AT13" s="458">
        <v>0</v>
      </c>
      <c r="AU13" s="457">
        <v>2224</v>
      </c>
      <c r="AV13" s="469">
        <v>2225</v>
      </c>
      <c r="AW13" s="457">
        <v>42042</v>
      </c>
      <c r="AX13" s="471">
        <v>0.95</v>
      </c>
    </row>
    <row r="14" spans="1:56" x14ac:dyDescent="0.25">
      <c r="A14" s="456">
        <v>1987</v>
      </c>
      <c r="B14" s="457">
        <v>52284</v>
      </c>
      <c r="C14" s="457">
        <v>15870</v>
      </c>
      <c r="D14" s="457">
        <f t="shared" si="1"/>
        <v>36414</v>
      </c>
      <c r="E14" s="458">
        <v>244</v>
      </c>
      <c r="F14" s="547">
        <v>1.5</v>
      </c>
      <c r="G14" s="458">
        <v>958</v>
      </c>
      <c r="H14" s="547">
        <v>6</v>
      </c>
      <c r="I14" s="457">
        <v>1203</v>
      </c>
      <c r="J14" s="547">
        <v>7.6</v>
      </c>
      <c r="K14" s="457">
        <v>3948</v>
      </c>
      <c r="L14" s="547">
        <v>24.9</v>
      </c>
      <c r="M14" s="457">
        <v>10716</v>
      </c>
      <c r="N14" s="547">
        <v>67.5</v>
      </c>
      <c r="O14" s="490">
        <f t="shared" si="0"/>
        <v>0.79504246040853799</v>
      </c>
      <c r="P14" s="547"/>
      <c r="Q14" s="547"/>
      <c r="R14" s="547"/>
      <c r="S14" s="547"/>
      <c r="T14" s="547"/>
      <c r="U14" s="547"/>
      <c r="V14" s="547"/>
      <c r="W14" s="547"/>
      <c r="X14" s="547"/>
      <c r="Y14" s="547"/>
      <c r="Z14" s="547"/>
      <c r="AA14" s="547"/>
      <c r="AB14" s="547"/>
      <c r="AC14" s="547"/>
      <c r="AD14" s="547"/>
      <c r="AE14" s="547"/>
      <c r="AF14" s="547"/>
      <c r="AG14" s="547"/>
      <c r="AH14" s="547"/>
      <c r="AJ14" s="545">
        <v>1999</v>
      </c>
      <c r="AK14" s="469">
        <v>43067</v>
      </c>
      <c r="AL14" s="458">
        <v>2</v>
      </c>
      <c r="AM14" s="458">
        <v>16</v>
      </c>
      <c r="AN14" s="458">
        <v>26</v>
      </c>
      <c r="AO14" s="547" t="s">
        <v>165</v>
      </c>
      <c r="AP14" s="470">
        <v>44</v>
      </c>
      <c r="AQ14" s="469">
        <v>43023</v>
      </c>
      <c r="AR14" s="458">
        <v>0</v>
      </c>
      <c r="AS14" s="458">
        <v>1</v>
      </c>
      <c r="AT14" s="458">
        <v>0</v>
      </c>
      <c r="AU14" s="457">
        <v>1983</v>
      </c>
      <c r="AV14" s="469">
        <v>1984</v>
      </c>
      <c r="AW14" s="457">
        <v>41039</v>
      </c>
      <c r="AX14" s="471">
        <v>0.95</v>
      </c>
    </row>
    <row r="15" spans="1:56" x14ac:dyDescent="0.25">
      <c r="A15" s="456">
        <v>1988</v>
      </c>
      <c r="B15" s="457">
        <v>54076</v>
      </c>
      <c r="C15" s="457">
        <v>17368</v>
      </c>
      <c r="D15" s="457">
        <f t="shared" si="1"/>
        <v>36708</v>
      </c>
      <c r="E15" s="457">
        <v>1108</v>
      </c>
      <c r="F15" s="547">
        <v>6.4</v>
      </c>
      <c r="G15" s="457">
        <v>1148</v>
      </c>
      <c r="H15" s="547">
        <v>6.6</v>
      </c>
      <c r="I15" s="457">
        <v>2256</v>
      </c>
      <c r="J15" s="547">
        <v>13</v>
      </c>
      <c r="K15" s="457">
        <v>3536</v>
      </c>
      <c r="L15" s="547">
        <v>20.399999999999999</v>
      </c>
      <c r="M15" s="457">
        <v>11573</v>
      </c>
      <c r="N15" s="547">
        <v>66.599999999999994</v>
      </c>
      <c r="O15" s="490">
        <f t="shared" si="0"/>
        <v>0.78598638952585254</v>
      </c>
      <c r="P15" s="547"/>
      <c r="Q15" s="547"/>
      <c r="R15" s="547"/>
      <c r="S15" s="547"/>
      <c r="T15" s="547"/>
      <c r="U15" s="547"/>
      <c r="V15" s="547"/>
      <c r="W15" s="547"/>
      <c r="X15" s="547"/>
      <c r="Y15" s="547"/>
      <c r="Z15" s="547"/>
      <c r="AA15" s="547"/>
      <c r="AB15" s="547"/>
      <c r="AC15" s="547"/>
      <c r="AD15" s="547"/>
      <c r="AE15" s="547"/>
      <c r="AF15" s="547"/>
      <c r="AG15" s="547"/>
      <c r="AH15" s="547"/>
      <c r="AJ15" s="545">
        <v>2000</v>
      </c>
      <c r="AK15" s="469">
        <v>186715</v>
      </c>
      <c r="AL15" s="458">
        <v>88</v>
      </c>
      <c r="AM15" s="458">
        <v>110</v>
      </c>
      <c r="AN15" s="458">
        <v>177</v>
      </c>
      <c r="AO15" s="547" t="s">
        <v>165</v>
      </c>
      <c r="AP15" s="470">
        <v>375</v>
      </c>
      <c r="AQ15" s="469">
        <v>186340</v>
      </c>
      <c r="AR15" s="458">
        <v>0</v>
      </c>
      <c r="AS15" s="458">
        <v>31</v>
      </c>
      <c r="AT15" s="457">
        <v>1348</v>
      </c>
      <c r="AU15" s="457">
        <v>9973</v>
      </c>
      <c r="AV15" s="469">
        <v>11352</v>
      </c>
      <c r="AW15" s="457">
        <v>174988</v>
      </c>
      <c r="AX15" s="471">
        <v>0.94</v>
      </c>
    </row>
    <row r="16" spans="1:56" x14ac:dyDescent="0.25">
      <c r="A16" s="456">
        <v>1989</v>
      </c>
      <c r="B16" s="457">
        <v>35477</v>
      </c>
      <c r="C16" s="457">
        <v>14707</v>
      </c>
      <c r="D16" s="457">
        <f t="shared" si="1"/>
        <v>20770</v>
      </c>
      <c r="E16" s="458">
        <v>348</v>
      </c>
      <c r="F16" s="547">
        <v>2.4</v>
      </c>
      <c r="G16" s="457">
        <v>1099</v>
      </c>
      <c r="H16" s="547">
        <v>7.5</v>
      </c>
      <c r="I16" s="457">
        <v>1447</v>
      </c>
      <c r="J16" s="547">
        <v>9.8000000000000007</v>
      </c>
      <c r="K16" s="457">
        <v>6424</v>
      </c>
      <c r="L16" s="547">
        <v>43.7</v>
      </c>
      <c r="M16" s="457">
        <v>6833</v>
      </c>
      <c r="N16" s="547">
        <v>46.5</v>
      </c>
      <c r="O16" s="490">
        <f t="shared" si="0"/>
        <v>0.80739634129154103</v>
      </c>
      <c r="P16" s="547"/>
      <c r="Q16" s="547"/>
      <c r="R16" s="547"/>
      <c r="S16" s="547"/>
      <c r="T16" s="547"/>
      <c r="U16" s="547"/>
      <c r="V16" s="547"/>
      <c r="W16" s="547"/>
      <c r="X16" s="547"/>
      <c r="Y16" s="547"/>
      <c r="Z16" s="547"/>
      <c r="AA16" s="547"/>
      <c r="AB16" s="547"/>
      <c r="AC16" s="547"/>
      <c r="AD16" s="547"/>
      <c r="AE16" s="547"/>
      <c r="AF16" s="547"/>
      <c r="AG16" s="547"/>
      <c r="AH16" s="547"/>
      <c r="AJ16" s="545">
        <v>2001</v>
      </c>
      <c r="AK16" s="469">
        <v>440336</v>
      </c>
      <c r="AL16" s="457">
        <v>1579</v>
      </c>
      <c r="AM16" s="457">
        <v>22714</v>
      </c>
      <c r="AN16" s="458">
        <v>964</v>
      </c>
      <c r="AO16" s="547" t="s">
        <v>165</v>
      </c>
      <c r="AP16" s="469">
        <v>25257</v>
      </c>
      <c r="AQ16" s="469">
        <v>415079</v>
      </c>
      <c r="AR16" s="458">
        <v>168</v>
      </c>
      <c r="AS16" s="458">
        <v>160</v>
      </c>
      <c r="AT16" s="457">
        <v>43630</v>
      </c>
      <c r="AU16" s="457">
        <v>10985</v>
      </c>
      <c r="AV16" s="469">
        <v>54943</v>
      </c>
      <c r="AW16" s="457">
        <v>360137</v>
      </c>
      <c r="AX16" s="471">
        <v>0.82</v>
      </c>
    </row>
    <row r="17" spans="1:50" x14ac:dyDescent="0.25">
      <c r="A17" s="456">
        <v>1990</v>
      </c>
      <c r="B17" s="457">
        <v>41304</v>
      </c>
      <c r="C17" s="457">
        <v>17581</v>
      </c>
      <c r="D17" s="457">
        <f t="shared" si="1"/>
        <v>23723</v>
      </c>
      <c r="E17" s="458">
        <v>882</v>
      </c>
      <c r="F17" s="547">
        <v>5</v>
      </c>
      <c r="G17" s="457">
        <v>1152</v>
      </c>
      <c r="H17" s="547">
        <v>6.6</v>
      </c>
      <c r="I17" s="457">
        <v>2034</v>
      </c>
      <c r="J17" s="547">
        <v>11.6</v>
      </c>
      <c r="K17" s="457">
        <v>5689</v>
      </c>
      <c r="L17" s="547">
        <v>32.4</v>
      </c>
      <c r="M17" s="457">
        <v>9850</v>
      </c>
      <c r="N17" s="547">
        <v>56</v>
      </c>
      <c r="O17" s="490">
        <f t="shared" si="0"/>
        <v>0.7615243075731164</v>
      </c>
      <c r="P17" s="547"/>
      <c r="Q17" s="547"/>
      <c r="R17" s="547"/>
      <c r="S17" s="547"/>
      <c r="T17" s="547"/>
      <c r="U17" s="547"/>
      <c r="V17" s="547"/>
      <c r="W17" s="547"/>
      <c r="X17" s="547"/>
      <c r="Y17" s="547"/>
      <c r="Z17" s="547"/>
      <c r="AA17" s="547"/>
      <c r="AB17" s="547"/>
      <c r="AC17" s="547"/>
      <c r="AD17" s="547"/>
      <c r="AE17" s="547"/>
      <c r="AF17" s="547"/>
      <c r="AG17" s="547"/>
      <c r="AH17" s="547"/>
      <c r="AJ17" s="545">
        <v>2002</v>
      </c>
      <c r="AK17" s="469">
        <v>335214</v>
      </c>
      <c r="AL17" s="457">
        <v>9507</v>
      </c>
      <c r="AM17" s="457">
        <v>16245</v>
      </c>
      <c r="AN17" s="458">
        <v>667</v>
      </c>
      <c r="AO17" s="547" t="s">
        <v>165</v>
      </c>
      <c r="AP17" s="469">
        <v>26419</v>
      </c>
      <c r="AQ17" s="469">
        <v>308795</v>
      </c>
      <c r="AR17" s="457">
        <v>1716</v>
      </c>
      <c r="AS17" s="458">
        <v>48</v>
      </c>
      <c r="AT17" s="457">
        <v>24209</v>
      </c>
      <c r="AU17" s="457">
        <v>9208</v>
      </c>
      <c r="AV17" s="469">
        <v>35181</v>
      </c>
      <c r="AW17" s="457">
        <v>273614</v>
      </c>
      <c r="AX17" s="471">
        <v>0.82</v>
      </c>
    </row>
    <row r="18" spans="1:50" x14ac:dyDescent="0.25">
      <c r="A18" s="456">
        <v>1991</v>
      </c>
      <c r="B18" s="457">
        <v>23665</v>
      </c>
      <c r="C18" s="457">
        <v>13106</v>
      </c>
      <c r="D18" s="457">
        <f t="shared" si="1"/>
        <v>10559</v>
      </c>
      <c r="E18" s="458">
        <v>516</v>
      </c>
      <c r="F18" s="547">
        <v>3.9</v>
      </c>
      <c r="G18" s="458">
        <v>788</v>
      </c>
      <c r="H18" s="547">
        <v>6</v>
      </c>
      <c r="I18" s="457">
        <v>1303</v>
      </c>
      <c r="J18" s="547">
        <v>9.9</v>
      </c>
      <c r="K18" s="457">
        <v>5785</v>
      </c>
      <c r="L18" s="547">
        <v>44.1</v>
      </c>
      <c r="M18" s="457">
        <v>6013</v>
      </c>
      <c r="N18" s="547">
        <v>45.9</v>
      </c>
      <c r="O18" s="490">
        <f t="shared" si="0"/>
        <v>0.74591168392140283</v>
      </c>
      <c r="P18" s="547"/>
      <c r="Q18" s="547"/>
      <c r="R18" s="547"/>
      <c r="S18" s="547"/>
      <c r="T18" s="547"/>
      <c r="U18" s="547"/>
      <c r="V18" s="547"/>
      <c r="W18" s="547"/>
      <c r="X18" s="547"/>
      <c r="Y18" s="547"/>
      <c r="Z18" s="547"/>
      <c r="AA18" s="547"/>
      <c r="AB18" s="547"/>
      <c r="AC18" s="547"/>
      <c r="AD18" s="547"/>
      <c r="AE18" s="547"/>
      <c r="AF18" s="547"/>
      <c r="AG18" s="547"/>
      <c r="AH18" s="547"/>
      <c r="AJ18" s="545">
        <v>2003</v>
      </c>
      <c r="AK18" s="469">
        <v>242605</v>
      </c>
      <c r="AL18" s="457">
        <v>2758</v>
      </c>
      <c r="AM18" s="457">
        <v>9581</v>
      </c>
      <c r="AN18" s="458">
        <v>765</v>
      </c>
      <c r="AO18" s="547" t="s">
        <v>165</v>
      </c>
      <c r="AP18" s="469">
        <v>13104</v>
      </c>
      <c r="AQ18" s="469">
        <v>229501</v>
      </c>
      <c r="AR18" s="457">
        <v>1860</v>
      </c>
      <c r="AS18" s="458">
        <v>857</v>
      </c>
      <c r="AT18" s="457">
        <v>8348</v>
      </c>
      <c r="AU18" s="457">
        <v>9090</v>
      </c>
      <c r="AV18" s="469">
        <v>20155</v>
      </c>
      <c r="AW18" s="457">
        <v>209346</v>
      </c>
      <c r="AX18" s="471">
        <v>0.86</v>
      </c>
    </row>
    <row r="19" spans="1:50" x14ac:dyDescent="0.25">
      <c r="A19" s="456">
        <v>1992</v>
      </c>
      <c r="B19" s="457">
        <v>39679</v>
      </c>
      <c r="C19" s="457">
        <v>20637</v>
      </c>
      <c r="D19" s="457">
        <f t="shared" si="1"/>
        <v>19042</v>
      </c>
      <c r="E19" s="458">
        <v>334</v>
      </c>
      <c r="F19" s="547">
        <v>1.6</v>
      </c>
      <c r="G19" s="457">
        <v>1242</v>
      </c>
      <c r="H19" s="547">
        <v>6</v>
      </c>
      <c r="I19" s="457">
        <v>1575</v>
      </c>
      <c r="J19" s="547">
        <v>7.6</v>
      </c>
      <c r="K19" s="457">
        <v>5998</v>
      </c>
      <c r="L19" s="547">
        <v>29.1</v>
      </c>
      <c r="M19" s="457">
        <v>13056</v>
      </c>
      <c r="N19" s="547">
        <v>63.3</v>
      </c>
      <c r="O19" s="490">
        <f t="shared" si="0"/>
        <v>0.67095944958290277</v>
      </c>
      <c r="P19" s="547"/>
      <c r="Q19" s="547"/>
      <c r="R19" s="547"/>
      <c r="S19" s="547"/>
      <c r="T19" s="547"/>
      <c r="U19" s="547"/>
      <c r="V19" s="547"/>
      <c r="W19" s="547"/>
      <c r="X19" s="547"/>
      <c r="Y19" s="547"/>
      <c r="Z19" s="547"/>
      <c r="AA19" s="547"/>
      <c r="AB19" s="547"/>
      <c r="AC19" s="547"/>
      <c r="AD19" s="547"/>
      <c r="AE19" s="547"/>
      <c r="AF19" s="547"/>
      <c r="AG19" s="547"/>
      <c r="AH19" s="547"/>
      <c r="AJ19" s="545">
        <v>2004</v>
      </c>
      <c r="AK19" s="469">
        <v>221675</v>
      </c>
      <c r="AL19" s="457">
        <v>5989</v>
      </c>
      <c r="AM19" s="457">
        <v>17138</v>
      </c>
      <c r="AN19" s="458">
        <v>251</v>
      </c>
      <c r="AO19" s="547" t="s">
        <v>165</v>
      </c>
      <c r="AP19" s="469">
        <v>23379</v>
      </c>
      <c r="AQ19" s="469">
        <v>198296</v>
      </c>
      <c r="AR19" s="457">
        <v>1596</v>
      </c>
      <c r="AS19" s="458">
        <v>2</v>
      </c>
      <c r="AT19" s="457">
        <v>8368</v>
      </c>
      <c r="AU19" s="457">
        <v>9114</v>
      </c>
      <c r="AV19" s="469">
        <v>19080</v>
      </c>
      <c r="AW19" s="457">
        <v>179216</v>
      </c>
      <c r="AX19" s="471">
        <v>0.81</v>
      </c>
    </row>
    <row r="20" spans="1:50" x14ac:dyDescent="0.25">
      <c r="A20" s="456">
        <v>1993</v>
      </c>
      <c r="B20" s="457">
        <v>41148</v>
      </c>
      <c r="C20" s="457">
        <v>17900</v>
      </c>
      <c r="D20" s="457">
        <f t="shared" si="1"/>
        <v>23248</v>
      </c>
      <c r="E20" s="458">
        <v>147</v>
      </c>
      <c r="F20" s="547">
        <v>0.8</v>
      </c>
      <c r="G20" s="457">
        <v>1089</v>
      </c>
      <c r="H20" s="547">
        <v>6.1</v>
      </c>
      <c r="I20" s="457">
        <v>1236</v>
      </c>
      <c r="J20" s="547">
        <v>6.9</v>
      </c>
      <c r="K20" s="457">
        <v>3832</v>
      </c>
      <c r="L20" s="547">
        <v>21.4</v>
      </c>
      <c r="M20" s="457">
        <v>12827</v>
      </c>
      <c r="N20" s="547">
        <v>71.7</v>
      </c>
      <c r="O20" s="490">
        <f t="shared" si="0"/>
        <v>0.68827160493827155</v>
      </c>
      <c r="P20" s="547"/>
      <c r="Q20" s="547"/>
      <c r="R20" s="547"/>
      <c r="S20" s="547"/>
      <c r="T20" s="547"/>
      <c r="U20" s="547"/>
      <c r="V20" s="547"/>
      <c r="W20" s="547"/>
      <c r="X20" s="547"/>
      <c r="Y20" s="547"/>
      <c r="Z20" s="547"/>
      <c r="AA20" s="547"/>
      <c r="AB20" s="547"/>
      <c r="AC20" s="547"/>
      <c r="AD20" s="547"/>
      <c r="AE20" s="547"/>
      <c r="AF20" s="547"/>
      <c r="AG20" s="547"/>
      <c r="AH20" s="547"/>
      <c r="AJ20" s="545">
        <v>2005</v>
      </c>
      <c r="AK20" s="469">
        <v>106900</v>
      </c>
      <c r="AL20" s="457">
        <v>2247</v>
      </c>
      <c r="AM20" s="457">
        <v>7224</v>
      </c>
      <c r="AN20" s="458">
        <v>42</v>
      </c>
      <c r="AO20" s="547" t="s">
        <v>165</v>
      </c>
      <c r="AP20" s="469">
        <v>9513</v>
      </c>
      <c r="AQ20" s="469">
        <v>97387</v>
      </c>
      <c r="AR20" s="458">
        <v>464</v>
      </c>
      <c r="AS20" s="458">
        <v>1</v>
      </c>
      <c r="AT20" s="458">
        <v>0</v>
      </c>
      <c r="AU20" s="457">
        <v>6163</v>
      </c>
      <c r="AV20" s="469">
        <v>6628</v>
      </c>
      <c r="AW20" s="457">
        <v>90759</v>
      </c>
      <c r="AX20" s="471">
        <v>0.85</v>
      </c>
    </row>
    <row r="21" spans="1:50" x14ac:dyDescent="0.25">
      <c r="A21" s="456">
        <v>1994</v>
      </c>
      <c r="B21" s="457">
        <v>7711</v>
      </c>
      <c r="C21" s="457">
        <v>3721</v>
      </c>
      <c r="D21" s="457">
        <f t="shared" si="1"/>
        <v>3990</v>
      </c>
      <c r="E21" s="458">
        <v>146</v>
      </c>
      <c r="F21" s="547">
        <v>3.9</v>
      </c>
      <c r="G21" s="458">
        <v>179</v>
      </c>
      <c r="H21" s="547">
        <v>4.8</v>
      </c>
      <c r="I21" s="458">
        <v>325</v>
      </c>
      <c r="J21" s="547">
        <v>8.6999999999999993</v>
      </c>
      <c r="K21" s="457">
        <v>1443</v>
      </c>
      <c r="L21" s="547">
        <v>38.799999999999997</v>
      </c>
      <c r="M21" s="457">
        <v>1954</v>
      </c>
      <c r="N21" s="547">
        <v>52.5</v>
      </c>
      <c r="O21" s="490">
        <f t="shared" si="0"/>
        <v>0.7465957722733757</v>
      </c>
      <c r="P21" s="547"/>
      <c r="Q21" s="547"/>
      <c r="R21" s="547"/>
      <c r="S21" s="547"/>
      <c r="T21" s="547"/>
      <c r="U21" s="547"/>
      <c r="V21" s="547"/>
      <c r="W21" s="547"/>
      <c r="X21" s="547"/>
      <c r="Y21" s="547"/>
      <c r="Z21" s="547"/>
      <c r="AA21" s="547"/>
      <c r="AB21" s="547"/>
      <c r="AC21" s="547"/>
      <c r="AD21" s="547"/>
      <c r="AE21" s="547"/>
      <c r="AF21" s="547"/>
      <c r="AG21" s="547"/>
      <c r="AH21" s="547"/>
      <c r="AJ21" s="545">
        <v>2006</v>
      </c>
      <c r="AK21" s="469">
        <v>132583</v>
      </c>
      <c r="AL21" s="457">
        <v>2106</v>
      </c>
      <c r="AM21" s="457">
        <v>4187</v>
      </c>
      <c r="AN21" s="458">
        <v>133</v>
      </c>
      <c r="AO21" s="547" t="s">
        <v>165</v>
      </c>
      <c r="AP21" s="469">
        <v>6425</v>
      </c>
      <c r="AQ21" s="469">
        <v>126158</v>
      </c>
      <c r="AR21" s="457">
        <v>1362</v>
      </c>
      <c r="AS21" s="458">
        <v>0</v>
      </c>
      <c r="AT21" s="458">
        <v>0</v>
      </c>
      <c r="AU21" s="457">
        <v>8401</v>
      </c>
      <c r="AV21" s="469">
        <v>9763</v>
      </c>
      <c r="AW21" s="457">
        <v>116395</v>
      </c>
      <c r="AX21" s="471">
        <v>0.88</v>
      </c>
    </row>
    <row r="22" spans="1:50" x14ac:dyDescent="0.25">
      <c r="A22" s="456">
        <v>1995</v>
      </c>
      <c r="B22" s="457">
        <v>5242</v>
      </c>
      <c r="C22" s="457">
        <v>3382</v>
      </c>
      <c r="D22" s="457">
        <f t="shared" si="1"/>
        <v>1860</v>
      </c>
      <c r="E22" s="458">
        <v>3</v>
      </c>
      <c r="F22" s="547">
        <v>0.1</v>
      </c>
      <c r="G22" s="458">
        <v>167</v>
      </c>
      <c r="H22" s="547">
        <v>4.9000000000000004</v>
      </c>
      <c r="I22" s="458">
        <v>170</v>
      </c>
      <c r="J22" s="547">
        <v>5</v>
      </c>
      <c r="K22" s="457">
        <v>2026</v>
      </c>
      <c r="L22" s="547">
        <v>59.9</v>
      </c>
      <c r="M22" s="457">
        <v>1186</v>
      </c>
      <c r="N22" s="547">
        <v>35.1</v>
      </c>
      <c r="O22" s="490">
        <f t="shared" si="0"/>
        <v>0.77375047691720722</v>
      </c>
      <c r="P22" s="547"/>
      <c r="Q22" s="547"/>
      <c r="R22" s="547"/>
      <c r="S22" s="547"/>
      <c r="T22" s="547"/>
      <c r="U22" s="547"/>
      <c r="V22" s="547"/>
      <c r="W22" s="547"/>
      <c r="X22" s="547"/>
      <c r="Y22" s="547"/>
      <c r="Z22" s="547"/>
      <c r="AA22" s="547"/>
      <c r="AB22" s="547"/>
      <c r="AC22" s="547"/>
      <c r="AD22" s="547"/>
      <c r="AE22" s="547"/>
      <c r="AF22" s="547"/>
      <c r="AG22" s="547"/>
      <c r="AH22" s="547"/>
      <c r="AJ22" s="545">
        <v>2007</v>
      </c>
      <c r="AK22" s="469">
        <v>86247</v>
      </c>
      <c r="AL22" s="457">
        <v>1436</v>
      </c>
      <c r="AM22" s="457">
        <v>3927</v>
      </c>
      <c r="AN22" s="458">
        <v>54</v>
      </c>
      <c r="AO22" s="547">
        <v>0</v>
      </c>
      <c r="AP22" s="469">
        <v>5418</v>
      </c>
      <c r="AQ22" s="469">
        <v>80829</v>
      </c>
      <c r="AR22" s="457">
        <v>1445</v>
      </c>
      <c r="AS22" s="458">
        <v>3</v>
      </c>
      <c r="AT22" s="458">
        <v>0</v>
      </c>
      <c r="AU22" s="457">
        <v>5624</v>
      </c>
      <c r="AV22" s="469">
        <v>7072</v>
      </c>
      <c r="AW22" s="457">
        <v>73757</v>
      </c>
      <c r="AX22" s="471">
        <v>0.86</v>
      </c>
    </row>
    <row r="23" spans="1:50" x14ac:dyDescent="0.25">
      <c r="A23" s="456">
        <v>1996</v>
      </c>
      <c r="B23" s="457">
        <v>16799</v>
      </c>
      <c r="C23" s="457">
        <v>9037</v>
      </c>
      <c r="D23" s="457">
        <f t="shared" si="1"/>
        <v>7762</v>
      </c>
      <c r="E23" s="458">
        <v>9</v>
      </c>
      <c r="F23" s="547">
        <v>0.1</v>
      </c>
      <c r="G23" s="458">
        <v>474</v>
      </c>
      <c r="H23" s="547">
        <v>5.2</v>
      </c>
      <c r="I23" s="458">
        <v>483</v>
      </c>
      <c r="J23" s="547">
        <v>5.3</v>
      </c>
      <c r="K23" s="457">
        <v>4771</v>
      </c>
      <c r="L23" s="547">
        <v>52.8</v>
      </c>
      <c r="M23" s="457">
        <v>3783</v>
      </c>
      <c r="N23" s="547">
        <v>41.9</v>
      </c>
      <c r="O23" s="490">
        <f t="shared" si="0"/>
        <v>0.77480802428716</v>
      </c>
      <c r="P23" s="547"/>
      <c r="Q23" s="547"/>
      <c r="R23" s="547"/>
      <c r="S23" s="547"/>
      <c r="T23" s="547"/>
      <c r="U23" s="547"/>
      <c r="V23" s="547"/>
      <c r="W23" s="547"/>
      <c r="X23" s="547"/>
      <c r="Y23" s="547"/>
      <c r="Z23" s="547"/>
      <c r="AA23" s="547"/>
      <c r="AB23" s="547"/>
      <c r="AC23" s="547"/>
      <c r="AD23" s="547"/>
      <c r="AE23" s="547"/>
      <c r="AF23" s="547"/>
      <c r="AG23" s="547"/>
      <c r="AH23" s="547"/>
      <c r="AJ23" s="545">
        <v>2008</v>
      </c>
      <c r="AK23" s="469">
        <v>178629</v>
      </c>
      <c r="AL23" s="457">
        <v>5907</v>
      </c>
      <c r="AM23" s="457">
        <v>19612</v>
      </c>
      <c r="AN23" s="458">
        <v>385</v>
      </c>
      <c r="AO23" s="458">
        <v>830</v>
      </c>
      <c r="AP23" s="469">
        <v>26734</v>
      </c>
      <c r="AQ23" s="469">
        <v>151895</v>
      </c>
      <c r="AR23" s="457">
        <v>2068</v>
      </c>
      <c r="AS23" s="458">
        <v>0</v>
      </c>
      <c r="AT23" s="457">
        <v>12314</v>
      </c>
      <c r="AU23" s="457">
        <v>8247</v>
      </c>
      <c r="AV23" s="469">
        <v>22629</v>
      </c>
      <c r="AW23" s="457">
        <v>129267</v>
      </c>
      <c r="AX23" s="471">
        <v>0.72</v>
      </c>
    </row>
    <row r="24" spans="1:50" x14ac:dyDescent="0.25">
      <c r="A24" s="456">
        <v>1997</v>
      </c>
      <c r="B24" s="457">
        <v>82853</v>
      </c>
      <c r="C24" s="457">
        <v>9172</v>
      </c>
      <c r="D24" s="457">
        <f t="shared" si="1"/>
        <v>73681</v>
      </c>
      <c r="E24" s="458">
        <v>5</v>
      </c>
      <c r="F24" s="547">
        <v>0.1</v>
      </c>
      <c r="G24" s="458">
        <v>614</v>
      </c>
      <c r="H24" s="547">
        <v>6.7</v>
      </c>
      <c r="I24" s="458">
        <v>619</v>
      </c>
      <c r="J24" s="547">
        <v>6.8</v>
      </c>
      <c r="K24" s="457">
        <v>3586</v>
      </c>
      <c r="L24" s="547">
        <v>39.1</v>
      </c>
      <c r="M24" s="457">
        <v>4968</v>
      </c>
      <c r="N24" s="547">
        <v>54.2</v>
      </c>
      <c r="O24" s="490">
        <f t="shared" si="0"/>
        <v>0.94003838122940631</v>
      </c>
      <c r="P24" s="547"/>
      <c r="Q24" s="547"/>
      <c r="R24" s="547"/>
      <c r="S24" s="547"/>
      <c r="T24" s="547"/>
      <c r="U24" s="547"/>
      <c r="V24" s="547"/>
      <c r="W24" s="547"/>
      <c r="X24" s="547"/>
      <c r="Y24" s="547"/>
      <c r="Z24" s="547"/>
      <c r="AA24" s="547"/>
      <c r="AB24" s="547"/>
      <c r="AC24" s="547"/>
      <c r="AD24" s="547"/>
      <c r="AE24" s="547"/>
      <c r="AF24" s="547"/>
      <c r="AG24" s="547"/>
      <c r="AH24" s="547"/>
      <c r="AJ24" s="545">
        <v>2009</v>
      </c>
      <c r="AK24" s="469">
        <v>169296</v>
      </c>
      <c r="AL24" s="457">
        <v>4172</v>
      </c>
      <c r="AM24" s="457">
        <v>15246</v>
      </c>
      <c r="AN24" s="458">
        <v>371</v>
      </c>
      <c r="AO24" s="457">
        <v>2018</v>
      </c>
      <c r="AP24" s="469">
        <v>21807</v>
      </c>
      <c r="AQ24" s="469">
        <v>147489</v>
      </c>
      <c r="AR24" s="458">
        <v>644</v>
      </c>
      <c r="AS24" s="458">
        <v>0</v>
      </c>
      <c r="AT24" s="458">
        <v>0</v>
      </c>
      <c r="AU24" s="457">
        <v>11083</v>
      </c>
      <c r="AV24" s="469">
        <v>11727</v>
      </c>
      <c r="AW24" s="457">
        <v>135762</v>
      </c>
      <c r="AX24" s="471">
        <v>0.8</v>
      </c>
    </row>
    <row r="25" spans="1:50" x14ac:dyDescent="0.25">
      <c r="A25" s="456">
        <v>1998</v>
      </c>
      <c r="B25" s="457">
        <v>26835</v>
      </c>
      <c r="C25" s="457">
        <v>13785</v>
      </c>
      <c r="D25" s="457">
        <f t="shared" si="1"/>
        <v>13050</v>
      </c>
      <c r="E25" s="458">
        <v>13</v>
      </c>
      <c r="F25" s="547">
        <v>0.1</v>
      </c>
      <c r="G25" s="458">
        <v>692</v>
      </c>
      <c r="H25" s="547">
        <v>5</v>
      </c>
      <c r="I25" s="458">
        <v>705</v>
      </c>
      <c r="J25" s="547">
        <v>5.0999999999999996</v>
      </c>
      <c r="K25" s="457">
        <v>5715</v>
      </c>
      <c r="L25" s="547">
        <v>41.5</v>
      </c>
      <c r="M25" s="457">
        <v>7365</v>
      </c>
      <c r="N25" s="547">
        <v>53.4</v>
      </c>
      <c r="O25" s="490">
        <f t="shared" si="0"/>
        <v>0.72554499720514254</v>
      </c>
      <c r="P25" s="547"/>
      <c r="Q25" s="547"/>
      <c r="R25" s="547"/>
      <c r="S25" s="547"/>
      <c r="T25" s="547"/>
      <c r="U25" s="547"/>
      <c r="V25" s="547"/>
      <c r="W25" s="547"/>
      <c r="X25" s="547"/>
      <c r="Y25" s="547"/>
      <c r="Z25" s="547"/>
      <c r="AA25" s="547"/>
      <c r="AB25" s="547"/>
      <c r="AC25" s="547"/>
      <c r="AD25" s="547"/>
      <c r="AE25" s="547"/>
      <c r="AF25" s="547"/>
      <c r="AG25" s="547"/>
      <c r="AH25" s="547"/>
      <c r="AJ25" s="545">
        <v>2010</v>
      </c>
      <c r="AK25" s="469">
        <v>315345</v>
      </c>
      <c r="AL25" s="457">
        <v>7458</v>
      </c>
      <c r="AM25" s="457">
        <v>23535</v>
      </c>
      <c r="AN25" s="457">
        <v>1824</v>
      </c>
      <c r="AO25" s="457">
        <v>5139</v>
      </c>
      <c r="AP25" s="469">
        <v>37956</v>
      </c>
      <c r="AQ25" s="469">
        <v>277389</v>
      </c>
      <c r="AR25" s="457">
        <v>3692</v>
      </c>
      <c r="AS25" s="458">
        <v>0</v>
      </c>
      <c r="AT25" s="457">
        <v>25008</v>
      </c>
      <c r="AU25" s="457">
        <v>12807</v>
      </c>
      <c r="AV25" s="469">
        <v>41507</v>
      </c>
      <c r="AW25" s="457">
        <v>235882</v>
      </c>
      <c r="AX25" s="471">
        <v>0.75</v>
      </c>
    </row>
    <row r="26" spans="1:50" x14ac:dyDescent="0.25">
      <c r="A26" s="456">
        <v>1999</v>
      </c>
      <c r="B26" s="457">
        <v>13806</v>
      </c>
      <c r="C26" s="457">
        <v>5852</v>
      </c>
      <c r="D26" s="457">
        <f t="shared" si="1"/>
        <v>7954</v>
      </c>
      <c r="E26" s="458">
        <v>6</v>
      </c>
      <c r="F26" s="547">
        <v>0.1</v>
      </c>
      <c r="G26" s="458">
        <v>270</v>
      </c>
      <c r="H26" s="547">
        <v>4.5999999999999996</v>
      </c>
      <c r="I26" s="458">
        <v>276</v>
      </c>
      <c r="J26" s="547">
        <v>4.7</v>
      </c>
      <c r="K26" s="457">
        <v>2721</v>
      </c>
      <c r="L26" s="547">
        <v>46.5</v>
      </c>
      <c r="M26" s="457">
        <v>2856</v>
      </c>
      <c r="N26" s="547">
        <v>48.8</v>
      </c>
      <c r="O26" s="490">
        <f t="shared" si="0"/>
        <v>0.79313342025206435</v>
      </c>
      <c r="P26" s="547"/>
      <c r="Q26" s="547"/>
      <c r="R26" s="547"/>
      <c r="S26" s="547"/>
      <c r="T26" s="547"/>
      <c r="U26" s="547"/>
      <c r="V26" s="547"/>
      <c r="W26" s="547"/>
      <c r="X26" s="547"/>
      <c r="Y26" s="547"/>
      <c r="Z26" s="547"/>
      <c r="AA26" s="547"/>
      <c r="AB26" s="547"/>
      <c r="AC26" s="547"/>
      <c r="AD26" s="547"/>
      <c r="AE26" s="547"/>
      <c r="AF26" s="547"/>
      <c r="AG26" s="547"/>
      <c r="AH26" s="547"/>
      <c r="AJ26" s="545">
        <v>2011</v>
      </c>
      <c r="AK26" s="469">
        <v>221158</v>
      </c>
      <c r="AL26" s="457">
        <v>3410</v>
      </c>
      <c r="AM26" s="457">
        <v>9506</v>
      </c>
      <c r="AN26" s="458">
        <v>520</v>
      </c>
      <c r="AO26" s="457">
        <v>2291</v>
      </c>
      <c r="AP26" s="469">
        <v>15727</v>
      </c>
      <c r="AQ26" s="469">
        <v>205431</v>
      </c>
      <c r="AR26" s="457">
        <v>2564</v>
      </c>
      <c r="AS26" s="458">
        <v>7</v>
      </c>
      <c r="AT26" s="458">
        <v>0</v>
      </c>
      <c r="AU26" s="457">
        <v>13235</v>
      </c>
      <c r="AV26" s="469">
        <v>15806</v>
      </c>
      <c r="AW26" s="457">
        <v>189626</v>
      </c>
      <c r="AX26" s="471">
        <v>0.86</v>
      </c>
    </row>
    <row r="27" spans="1:50" x14ac:dyDescent="0.25">
      <c r="A27" s="456">
        <v>2000</v>
      </c>
      <c r="B27" s="457">
        <v>64371</v>
      </c>
      <c r="C27" s="457">
        <v>13961</v>
      </c>
      <c r="D27" s="457">
        <f t="shared" si="1"/>
        <v>50410</v>
      </c>
      <c r="E27" s="458">
        <v>27</v>
      </c>
      <c r="F27" s="547">
        <v>0.2</v>
      </c>
      <c r="G27" s="458">
        <v>849</v>
      </c>
      <c r="H27" s="547">
        <v>6.1</v>
      </c>
      <c r="I27" s="458">
        <v>876</v>
      </c>
      <c r="J27" s="547">
        <v>6.3</v>
      </c>
      <c r="K27" s="457">
        <v>4829</v>
      </c>
      <c r="L27" s="547">
        <v>34.6</v>
      </c>
      <c r="M27" s="457">
        <v>8255</v>
      </c>
      <c r="N27" s="547">
        <v>59.1</v>
      </c>
      <c r="O27" s="490">
        <f t="shared" si="0"/>
        <v>0.87175902191980859</v>
      </c>
      <c r="P27" s="547"/>
      <c r="Q27" s="547"/>
      <c r="R27" s="547"/>
      <c r="S27" s="547"/>
      <c r="T27" s="547"/>
      <c r="U27" s="547"/>
      <c r="V27" s="547"/>
      <c r="W27" s="547"/>
      <c r="X27" s="547"/>
      <c r="Y27" s="547"/>
      <c r="Z27" s="547"/>
      <c r="AA27" s="547"/>
      <c r="AB27" s="547"/>
      <c r="AC27" s="547"/>
      <c r="AD27" s="547"/>
      <c r="AE27" s="547"/>
      <c r="AF27" s="547"/>
      <c r="AG27" s="547"/>
      <c r="AH27" s="547"/>
      <c r="AJ27" s="545">
        <v>2012</v>
      </c>
      <c r="AK27" s="469">
        <v>203090</v>
      </c>
      <c r="AL27" s="457">
        <v>4269</v>
      </c>
      <c r="AM27" s="457">
        <v>10422</v>
      </c>
      <c r="AN27" s="458">
        <v>552</v>
      </c>
      <c r="AO27" s="457">
        <v>1399</v>
      </c>
      <c r="AP27" s="469">
        <v>16642</v>
      </c>
      <c r="AQ27" s="469">
        <v>186448</v>
      </c>
      <c r="AR27" s="457">
        <v>1282</v>
      </c>
      <c r="AS27" s="458">
        <v>2</v>
      </c>
      <c r="AT27" s="458">
        <v>818</v>
      </c>
      <c r="AU27" s="457">
        <v>15482</v>
      </c>
      <c r="AV27" s="469">
        <v>17584</v>
      </c>
      <c r="AW27" s="457">
        <v>168865</v>
      </c>
      <c r="AX27" s="471">
        <v>0.83</v>
      </c>
    </row>
    <row r="28" spans="1:50" x14ac:dyDescent="0.25">
      <c r="A28" s="456">
        <v>2001</v>
      </c>
      <c r="B28" s="457">
        <v>261776</v>
      </c>
      <c r="C28" s="457">
        <v>63520</v>
      </c>
      <c r="D28" s="457">
        <f t="shared" si="1"/>
        <v>198256</v>
      </c>
      <c r="E28" s="458">
        <v>819</v>
      </c>
      <c r="F28" s="547">
        <v>1.3</v>
      </c>
      <c r="G28" s="457">
        <v>8297</v>
      </c>
      <c r="H28" s="547">
        <v>13.1</v>
      </c>
      <c r="I28" s="457">
        <v>9116</v>
      </c>
      <c r="J28" s="547">
        <v>14.4</v>
      </c>
      <c r="K28" s="457">
        <v>9226</v>
      </c>
      <c r="L28" s="547">
        <v>14.5</v>
      </c>
      <c r="M28" s="457">
        <v>45273</v>
      </c>
      <c r="N28" s="547">
        <v>71.3</v>
      </c>
      <c r="O28" s="490">
        <f t="shared" si="0"/>
        <v>0.82705442821343444</v>
      </c>
      <c r="P28" s="547"/>
      <c r="Q28" s="547"/>
      <c r="R28" s="547"/>
      <c r="S28" s="547"/>
      <c r="T28" s="547"/>
      <c r="U28" s="547"/>
      <c r="V28" s="547"/>
      <c r="W28" s="547"/>
      <c r="X28" s="547"/>
      <c r="Y28" s="547"/>
      <c r="Z28" s="547"/>
      <c r="AA28" s="547"/>
      <c r="AB28" s="547"/>
      <c r="AC28" s="547"/>
      <c r="AD28" s="547"/>
      <c r="AE28" s="547"/>
      <c r="AF28" s="547"/>
      <c r="AG28" s="547"/>
      <c r="AH28" s="547"/>
      <c r="AJ28" s="545">
        <v>2013</v>
      </c>
      <c r="AK28" s="469">
        <v>123136</v>
      </c>
      <c r="AL28" s="457">
        <v>1497</v>
      </c>
      <c r="AM28" s="457">
        <v>5343</v>
      </c>
      <c r="AN28" s="458">
        <v>355</v>
      </c>
      <c r="AO28" s="457">
        <v>3007</v>
      </c>
      <c r="AP28" s="469">
        <v>10202</v>
      </c>
      <c r="AQ28" s="469">
        <v>112934</v>
      </c>
      <c r="AR28" s="457">
        <v>1093</v>
      </c>
      <c r="AS28" s="458">
        <v>0</v>
      </c>
      <c r="AT28" s="458">
        <v>0</v>
      </c>
      <c r="AU28" s="457">
        <v>6275</v>
      </c>
      <c r="AV28" s="469">
        <v>7368</v>
      </c>
      <c r="AW28" s="457">
        <v>105566</v>
      </c>
      <c r="AX28" s="471">
        <v>0.86</v>
      </c>
    </row>
    <row r="29" spans="1:50" x14ac:dyDescent="0.25">
      <c r="A29" s="456">
        <v>2002</v>
      </c>
      <c r="B29" s="457">
        <v>173426</v>
      </c>
      <c r="C29" s="457">
        <v>52950</v>
      </c>
      <c r="D29" s="457">
        <f t="shared" si="1"/>
        <v>120476</v>
      </c>
      <c r="E29" s="458">
        <v>928</v>
      </c>
      <c r="F29" s="547">
        <v>1.8</v>
      </c>
      <c r="G29" s="457">
        <v>5643</v>
      </c>
      <c r="H29" s="547">
        <v>10.7</v>
      </c>
      <c r="I29" s="457">
        <v>6570</v>
      </c>
      <c r="J29" s="547">
        <v>12.4</v>
      </c>
      <c r="K29" s="457">
        <v>15889</v>
      </c>
      <c r="L29" s="547">
        <v>30</v>
      </c>
      <c r="M29" s="457">
        <v>30213</v>
      </c>
      <c r="N29" s="547">
        <v>57.1</v>
      </c>
      <c r="O29" s="490">
        <f t="shared" si="0"/>
        <v>0.8257873675227474</v>
      </c>
      <c r="P29" s="547"/>
      <c r="Q29" s="547"/>
      <c r="R29" s="547"/>
      <c r="S29" s="547"/>
      <c r="T29" s="547"/>
      <c r="U29" s="547"/>
      <c r="V29" s="547"/>
      <c r="W29" s="547"/>
      <c r="X29" s="547"/>
      <c r="Y29" s="547"/>
      <c r="Z29" s="547"/>
      <c r="AA29" s="547"/>
      <c r="AB29" s="547"/>
      <c r="AC29" s="547"/>
      <c r="AD29" s="547"/>
      <c r="AE29" s="547"/>
      <c r="AF29" s="547"/>
      <c r="AG29" s="547"/>
      <c r="AH29" s="547"/>
      <c r="AJ29" s="545">
        <v>2014</v>
      </c>
      <c r="AK29" s="469">
        <v>242635</v>
      </c>
      <c r="AL29" s="457">
        <v>3364</v>
      </c>
      <c r="AM29" s="457">
        <v>13572</v>
      </c>
      <c r="AN29" s="458">
        <v>734</v>
      </c>
      <c r="AO29" s="458">
        <v>19</v>
      </c>
      <c r="AP29" s="469">
        <v>17689</v>
      </c>
      <c r="AQ29" s="469">
        <v>224946</v>
      </c>
      <c r="AR29" s="457">
        <v>4208</v>
      </c>
      <c r="AS29" s="458">
        <v>0</v>
      </c>
      <c r="AT29" s="457">
        <v>13807</v>
      </c>
      <c r="AU29" s="457">
        <v>10877</v>
      </c>
      <c r="AV29" s="469">
        <v>28892</v>
      </c>
      <c r="AW29" s="457">
        <v>196054</v>
      </c>
      <c r="AX29" s="471">
        <v>0.81</v>
      </c>
    </row>
    <row r="30" spans="1:50" x14ac:dyDescent="0.25">
      <c r="A30" s="456">
        <v>2003</v>
      </c>
      <c r="B30" s="457">
        <v>140053</v>
      </c>
      <c r="C30" s="457">
        <v>51508</v>
      </c>
      <c r="D30" s="457">
        <f t="shared" si="1"/>
        <v>88545</v>
      </c>
      <c r="E30" s="458">
        <v>782</v>
      </c>
      <c r="F30" s="547">
        <v>1.5</v>
      </c>
      <c r="G30" s="457">
        <v>4044</v>
      </c>
      <c r="H30" s="547">
        <v>7.9</v>
      </c>
      <c r="I30" s="457">
        <v>4825</v>
      </c>
      <c r="J30" s="547">
        <v>9.4</v>
      </c>
      <c r="K30" s="457">
        <v>13907</v>
      </c>
      <c r="L30" s="547">
        <v>27</v>
      </c>
      <c r="M30" s="457">
        <v>32324</v>
      </c>
      <c r="N30" s="547">
        <v>62.8</v>
      </c>
      <c r="O30" s="490">
        <f t="shared" si="0"/>
        <v>0.76920165937180918</v>
      </c>
      <c r="P30" s="547"/>
      <c r="Q30" s="547"/>
      <c r="R30" s="547"/>
      <c r="S30" s="547"/>
      <c r="T30" s="547"/>
      <c r="U30" s="547"/>
      <c r="V30" s="547"/>
      <c r="W30" s="547"/>
      <c r="X30" s="547"/>
      <c r="Y30" s="547"/>
      <c r="Z30" s="547"/>
      <c r="AA30" s="547"/>
      <c r="AB30" s="547"/>
      <c r="AC30" s="547"/>
      <c r="AD30" s="547"/>
      <c r="AE30" s="547"/>
      <c r="AF30" s="547"/>
      <c r="AG30" s="547"/>
      <c r="AH30" s="547"/>
      <c r="AJ30" s="545">
        <v>2015</v>
      </c>
      <c r="AK30" s="469">
        <v>288994</v>
      </c>
      <c r="AL30" s="457">
        <v>5724</v>
      </c>
      <c r="AM30" s="457">
        <v>15689</v>
      </c>
      <c r="AN30" s="457">
        <v>1094</v>
      </c>
      <c r="AO30" s="458">
        <v>929</v>
      </c>
      <c r="AP30" s="469">
        <v>23436</v>
      </c>
      <c r="AQ30" s="469">
        <v>265558</v>
      </c>
      <c r="AR30" s="457">
        <v>1647</v>
      </c>
      <c r="AS30" s="458">
        <v>7</v>
      </c>
      <c r="AT30" s="457">
        <v>20320</v>
      </c>
      <c r="AU30" s="457">
        <v>9925</v>
      </c>
      <c r="AV30" s="469">
        <v>31899</v>
      </c>
      <c r="AW30" s="457">
        <v>233660</v>
      </c>
      <c r="AX30" s="471">
        <v>0.81</v>
      </c>
    </row>
    <row r="31" spans="1:50" ht="15.75" thickBot="1" x14ac:dyDescent="0.3">
      <c r="A31" s="456">
        <v>2004</v>
      </c>
      <c r="B31" s="457">
        <v>128556</v>
      </c>
      <c r="C31" s="457">
        <v>33797</v>
      </c>
      <c r="D31" s="457">
        <f t="shared" si="1"/>
        <v>94759</v>
      </c>
      <c r="E31" s="458">
        <v>692</v>
      </c>
      <c r="F31" s="547">
        <v>2</v>
      </c>
      <c r="G31" s="457">
        <v>2922</v>
      </c>
      <c r="H31" s="547">
        <v>8.6</v>
      </c>
      <c r="I31" s="457">
        <v>3614</v>
      </c>
      <c r="J31" s="547">
        <v>10.7</v>
      </c>
      <c r="K31" s="457">
        <v>8552</v>
      </c>
      <c r="L31" s="547">
        <v>25.3</v>
      </c>
      <c r="M31" s="457">
        <v>21367</v>
      </c>
      <c r="N31" s="547">
        <v>63.2</v>
      </c>
      <c r="O31" s="490">
        <f t="shared" si="0"/>
        <v>0.83379227729549765</v>
      </c>
      <c r="P31" s="547"/>
      <c r="Q31" s="547"/>
      <c r="R31" s="547"/>
      <c r="S31" s="547"/>
      <c r="T31" s="547"/>
      <c r="U31" s="547"/>
      <c r="V31" s="547"/>
      <c r="W31" s="547"/>
      <c r="X31" s="547"/>
      <c r="Y31" s="547"/>
      <c r="Z31" s="547"/>
      <c r="AA31" s="547"/>
      <c r="AB31" s="547"/>
      <c r="AC31" s="547"/>
      <c r="AD31" s="547"/>
      <c r="AE31" s="547"/>
      <c r="AF31" s="547"/>
      <c r="AG31" s="547"/>
      <c r="AH31" s="547"/>
      <c r="AJ31" s="544">
        <v>2016</v>
      </c>
      <c r="AK31" s="472">
        <v>187816</v>
      </c>
      <c r="AL31" s="459">
        <v>2954</v>
      </c>
      <c r="AM31" s="459">
        <v>10167</v>
      </c>
      <c r="AN31" s="460">
        <v>554</v>
      </c>
      <c r="AO31" s="459">
        <v>1527</v>
      </c>
      <c r="AP31" s="472">
        <v>15202</v>
      </c>
      <c r="AQ31" s="472">
        <v>172614</v>
      </c>
      <c r="AR31" s="459">
        <v>1480</v>
      </c>
      <c r="AS31" s="460">
        <v>0</v>
      </c>
      <c r="AT31" s="459">
        <v>1993</v>
      </c>
      <c r="AU31" s="459">
        <v>13546</v>
      </c>
      <c r="AV31" s="472">
        <v>17019</v>
      </c>
      <c r="AW31" s="459">
        <v>155596</v>
      </c>
      <c r="AX31" s="473">
        <v>0.83</v>
      </c>
    </row>
    <row r="32" spans="1:50" ht="15.75" thickTop="1" x14ac:dyDescent="0.25">
      <c r="A32" s="456">
        <v>2005</v>
      </c>
      <c r="B32" s="457">
        <v>50114</v>
      </c>
      <c r="C32" s="457">
        <v>15273</v>
      </c>
      <c r="D32" s="457">
        <f t="shared" si="1"/>
        <v>34841</v>
      </c>
      <c r="E32" s="458">
        <v>252</v>
      </c>
      <c r="F32" s="547">
        <v>1.6</v>
      </c>
      <c r="G32" s="458">
        <v>951</v>
      </c>
      <c r="H32" s="547">
        <v>6.2</v>
      </c>
      <c r="I32" s="457">
        <v>1203</v>
      </c>
      <c r="J32" s="547">
        <v>7.9</v>
      </c>
      <c r="K32" s="457">
        <v>3868</v>
      </c>
      <c r="L32" s="547">
        <v>25.3</v>
      </c>
      <c r="M32" s="457">
        <v>10131</v>
      </c>
      <c r="N32" s="547">
        <v>66.3</v>
      </c>
      <c r="O32" s="490">
        <f t="shared" si="0"/>
        <v>0.79784092269625251</v>
      </c>
      <c r="P32" s="547"/>
      <c r="Q32" s="547"/>
      <c r="R32" s="547"/>
      <c r="S32" s="547"/>
      <c r="T32" s="547"/>
      <c r="U32" s="547"/>
      <c r="V32" s="547"/>
      <c r="W32" s="547"/>
      <c r="X32" s="547"/>
      <c r="Y32" s="547"/>
      <c r="Z32" s="547"/>
      <c r="AA32" s="547"/>
      <c r="AB32" s="547"/>
      <c r="AC32" s="547"/>
      <c r="AD32" s="547"/>
      <c r="AE32" s="547"/>
      <c r="AF32" s="547"/>
      <c r="AG32" s="547"/>
      <c r="AH32" s="547"/>
    </row>
    <row r="33" spans="1:56" x14ac:dyDescent="0.25">
      <c r="A33" s="456">
        <v>2006</v>
      </c>
      <c r="B33" s="457">
        <v>53305</v>
      </c>
      <c r="C33" s="457">
        <v>16846</v>
      </c>
      <c r="D33" s="457">
        <f t="shared" si="1"/>
        <v>36459</v>
      </c>
      <c r="E33" s="458">
        <v>249</v>
      </c>
      <c r="F33" s="547">
        <v>1.5</v>
      </c>
      <c r="G33" s="457">
        <v>1107</v>
      </c>
      <c r="H33" s="547">
        <v>6.6</v>
      </c>
      <c r="I33" s="457">
        <v>1356</v>
      </c>
      <c r="J33" s="547">
        <v>8.1</v>
      </c>
      <c r="K33" s="457">
        <v>5843</v>
      </c>
      <c r="L33" s="547">
        <v>34.700000000000003</v>
      </c>
      <c r="M33" s="457">
        <v>9485</v>
      </c>
      <c r="N33" s="547">
        <v>56.3</v>
      </c>
      <c r="O33" s="490">
        <f t="shared" si="0"/>
        <v>0.82206172028890345</v>
      </c>
      <c r="P33" s="547"/>
      <c r="Q33" s="547"/>
      <c r="R33" s="547"/>
      <c r="S33" s="547"/>
      <c r="T33" s="547"/>
      <c r="U33" s="547"/>
      <c r="V33" s="547"/>
      <c r="W33" s="547"/>
      <c r="X33" s="547"/>
      <c r="Y33" s="547"/>
      <c r="Z33" s="547"/>
      <c r="AA33" s="547"/>
      <c r="AB33" s="547"/>
      <c r="AC33" s="547"/>
      <c r="AD33" s="547"/>
      <c r="AE33" s="547"/>
      <c r="AF33" s="547"/>
      <c r="AG33" s="547"/>
      <c r="AH33" s="547"/>
    </row>
    <row r="34" spans="1:56" x14ac:dyDescent="0.25">
      <c r="A34" s="456">
        <v>2007</v>
      </c>
      <c r="B34" s="457">
        <v>45563</v>
      </c>
      <c r="C34" s="457">
        <v>10501</v>
      </c>
      <c r="D34" s="457">
        <f t="shared" si="1"/>
        <v>35062</v>
      </c>
      <c r="E34" s="458">
        <v>139</v>
      </c>
      <c r="F34" s="547">
        <v>1.3</v>
      </c>
      <c r="G34" s="458">
        <v>723</v>
      </c>
      <c r="H34" s="547">
        <v>6.9</v>
      </c>
      <c r="I34" s="458">
        <v>862</v>
      </c>
      <c r="J34" s="547">
        <v>8.1999999999999993</v>
      </c>
      <c r="K34" s="457">
        <v>2377</v>
      </c>
      <c r="L34" s="547">
        <v>22.6</v>
      </c>
      <c r="M34" s="457">
        <v>7093</v>
      </c>
      <c r="N34" s="547">
        <v>67.5</v>
      </c>
      <c r="O34" s="490">
        <f t="shared" si="0"/>
        <v>0.84432543950134975</v>
      </c>
      <c r="P34" s="547"/>
      <c r="Q34" s="482">
        <f>AZ34</f>
        <v>1.7275963221909166E-2</v>
      </c>
      <c r="R34" s="482">
        <f t="shared" ref="R34:T43" si="2">BA34</f>
        <v>6.2286224448386614E-2</v>
      </c>
      <c r="S34" s="482">
        <f t="shared" si="2"/>
        <v>6.5242849026632813E-2</v>
      </c>
      <c r="T34" s="482">
        <f t="shared" si="2"/>
        <v>0.14481663130311778</v>
      </c>
      <c r="U34" s="483">
        <f>Q34*$B34</f>
        <v>787.14471227984734</v>
      </c>
      <c r="V34" s="483">
        <f t="shared" ref="V34:X43" si="3">R34*$B34</f>
        <v>2837.9472445418392</v>
      </c>
      <c r="W34" s="483">
        <f t="shared" si="3"/>
        <v>2972.6599302004706</v>
      </c>
      <c r="X34" s="483">
        <f t="shared" si="3"/>
        <v>6598.2801720639554</v>
      </c>
      <c r="Y34" s="485">
        <f t="shared" ref="Y34:Y42" si="4">U34+V34-E34</f>
        <v>3486.0919568216864</v>
      </c>
      <c r="Z34" s="485">
        <f t="shared" ref="Z34:Z42" si="5">W34-G34</f>
        <v>2249.6599302004706</v>
      </c>
      <c r="AA34" s="485">
        <f t="shared" ref="AA34:AA42" si="6">Y34+Z34</f>
        <v>5735.7518870221575</v>
      </c>
      <c r="AB34" s="488">
        <f>Y34/$D34</f>
        <v>9.9426500394207015E-2</v>
      </c>
      <c r="AC34" s="488">
        <f t="shared" ref="AC34:AD43" si="7">Z34/$D34</f>
        <v>6.4162339005204225E-2</v>
      </c>
      <c r="AD34" s="487">
        <f t="shared" si="7"/>
        <v>0.16358883939941127</v>
      </c>
      <c r="AE34" s="485"/>
      <c r="AF34" s="485"/>
      <c r="AG34" s="483"/>
      <c r="AH34" s="547"/>
      <c r="AZ34" s="477">
        <f t="shared" ref="AZ34:AZ43" si="8">(AL22+AN22)/AK22</f>
        <v>1.7275963221909166E-2</v>
      </c>
      <c r="BA34" s="477">
        <f t="shared" ref="BA34:BA43" si="9">(AM22+AR22)/AK22</f>
        <v>6.2286224448386614E-2</v>
      </c>
      <c r="BB34" s="477">
        <f t="shared" ref="BB34:BB43" si="10">(AO22+AS22+AT22+AU22)/AK22</f>
        <v>6.5242849026632813E-2</v>
      </c>
      <c r="BC34" s="477">
        <f t="shared" ref="BC34:BC43" si="11">(AP22+AV22)/AK22</f>
        <v>0.14481663130311778</v>
      </c>
      <c r="BD34" s="454"/>
    </row>
    <row r="35" spans="1:56" x14ac:dyDescent="0.25">
      <c r="A35" s="456">
        <v>2008</v>
      </c>
      <c r="B35" s="457">
        <v>100986</v>
      </c>
      <c r="C35" s="457">
        <v>24041</v>
      </c>
      <c r="D35" s="457">
        <f t="shared" si="1"/>
        <v>76945</v>
      </c>
      <c r="E35" s="458">
        <v>510</v>
      </c>
      <c r="F35" s="547">
        <v>2.1</v>
      </c>
      <c r="G35" s="457">
        <v>3283</v>
      </c>
      <c r="H35" s="547">
        <v>13.7</v>
      </c>
      <c r="I35" s="457">
        <v>3793</v>
      </c>
      <c r="J35" s="547">
        <v>15.8</v>
      </c>
      <c r="K35" s="457">
        <v>2352</v>
      </c>
      <c r="L35" s="547">
        <v>9.8000000000000007</v>
      </c>
      <c r="M35" s="457">
        <v>17574</v>
      </c>
      <c r="N35" s="547">
        <v>73.099999999999994</v>
      </c>
      <c r="O35" s="490">
        <f t="shared" si="0"/>
        <v>0.8259758778444537</v>
      </c>
      <c r="P35" s="547"/>
      <c r="Q35" s="482">
        <f t="shared" ref="Q35:Q43" si="12">AZ35</f>
        <v>3.5223843832748319E-2</v>
      </c>
      <c r="R35" s="482">
        <f t="shared" si="2"/>
        <v>0.12136887067609403</v>
      </c>
      <c r="S35" s="482">
        <f t="shared" si="2"/>
        <v>0.1197509922800889</v>
      </c>
      <c r="T35" s="482">
        <f t="shared" si="2"/>
        <v>0.27634370678893128</v>
      </c>
      <c r="U35" s="483">
        <f t="shared" ref="U35:U43" si="13">Q35*$B35</f>
        <v>3557.1150932939217</v>
      </c>
      <c r="V35" s="483">
        <f t="shared" si="3"/>
        <v>12256.556774096032</v>
      </c>
      <c r="W35" s="483">
        <f t="shared" si="3"/>
        <v>12093.173706397058</v>
      </c>
      <c r="X35" s="483">
        <f t="shared" si="3"/>
        <v>27906.845573787014</v>
      </c>
      <c r="Y35" s="485">
        <f t="shared" si="4"/>
        <v>15303.671867389954</v>
      </c>
      <c r="Z35" s="485">
        <f t="shared" si="5"/>
        <v>8810.1737063970577</v>
      </c>
      <c r="AA35" s="485">
        <f t="shared" si="6"/>
        <v>24113.84557378701</v>
      </c>
      <c r="AB35" s="488">
        <f t="shared" ref="AB35:AB43" si="14">Y35/$D35</f>
        <v>0.1988910503267263</v>
      </c>
      <c r="AC35" s="488">
        <f t="shared" si="7"/>
        <v>0.11449962578981165</v>
      </c>
      <c r="AD35" s="487">
        <f t="shared" si="7"/>
        <v>0.31339067611653793</v>
      </c>
      <c r="AE35" s="485"/>
      <c r="AF35" s="485"/>
      <c r="AG35" s="483"/>
      <c r="AH35" s="547"/>
      <c r="AZ35" s="477">
        <f t="shared" si="8"/>
        <v>3.5223843832748319E-2</v>
      </c>
      <c r="BA35" s="477">
        <f t="shared" si="9"/>
        <v>0.12136887067609403</v>
      </c>
      <c r="BB35" s="477">
        <f t="shared" si="10"/>
        <v>0.1197509922800889</v>
      </c>
      <c r="BC35" s="477">
        <f t="shared" si="11"/>
        <v>0.27634370678893128</v>
      </c>
      <c r="BD35" s="454"/>
    </row>
    <row r="36" spans="1:56" x14ac:dyDescent="0.25">
      <c r="A36" s="456">
        <v>2009</v>
      </c>
      <c r="B36" s="457">
        <v>90116</v>
      </c>
      <c r="C36" s="457">
        <v>20453</v>
      </c>
      <c r="D36" s="457">
        <f t="shared" si="1"/>
        <v>69663</v>
      </c>
      <c r="E36" s="458">
        <v>328</v>
      </c>
      <c r="F36" s="547">
        <v>1.6</v>
      </c>
      <c r="G36" s="457">
        <v>1758</v>
      </c>
      <c r="H36" s="547">
        <v>8.6</v>
      </c>
      <c r="I36" s="457">
        <v>2086</v>
      </c>
      <c r="J36" s="547">
        <v>10.199999999999999</v>
      </c>
      <c r="K36" s="457">
        <v>3321</v>
      </c>
      <c r="L36" s="547">
        <v>16.2</v>
      </c>
      <c r="M36" s="457">
        <v>14947</v>
      </c>
      <c r="N36" s="547">
        <v>73.099999999999994</v>
      </c>
      <c r="O36" s="490">
        <f t="shared" si="0"/>
        <v>0.83413600248568509</v>
      </c>
      <c r="P36" s="547"/>
      <c r="Q36" s="482">
        <f t="shared" si="12"/>
        <v>2.6834656459691901E-2</v>
      </c>
      <c r="R36" s="482">
        <f t="shared" si="2"/>
        <v>9.3859276060863819E-2</v>
      </c>
      <c r="S36" s="482">
        <f t="shared" si="2"/>
        <v>7.7385171533881483E-2</v>
      </c>
      <c r="T36" s="482">
        <f t="shared" si="2"/>
        <v>0.19807910405443721</v>
      </c>
      <c r="U36" s="483">
        <f t="shared" si="13"/>
        <v>2418.2319015215953</v>
      </c>
      <c r="V36" s="483">
        <f t="shared" si="3"/>
        <v>8458.2225215008039</v>
      </c>
      <c r="W36" s="483">
        <f t="shared" si="3"/>
        <v>6973.6421179472636</v>
      </c>
      <c r="X36" s="483">
        <f t="shared" si="3"/>
        <v>17850.096540969662</v>
      </c>
      <c r="Y36" s="485">
        <f t="shared" si="4"/>
        <v>10548.454423022398</v>
      </c>
      <c r="Z36" s="485">
        <f t="shared" si="5"/>
        <v>5215.6421179472636</v>
      </c>
      <c r="AA36" s="485">
        <f t="shared" si="6"/>
        <v>15764.096540969662</v>
      </c>
      <c r="AB36" s="488">
        <f t="shared" si="14"/>
        <v>0.1514211909194608</v>
      </c>
      <c r="AC36" s="488">
        <f t="shared" si="7"/>
        <v>7.4869616840320743E-2</v>
      </c>
      <c r="AD36" s="487">
        <f t="shared" si="7"/>
        <v>0.22629080775978155</v>
      </c>
      <c r="AE36" s="485"/>
      <c r="AF36" s="485"/>
      <c r="AG36" s="483"/>
      <c r="AH36" s="547"/>
      <c r="AZ36" s="477">
        <f t="shared" si="8"/>
        <v>2.6834656459691901E-2</v>
      </c>
      <c r="BA36" s="477">
        <f t="shared" si="9"/>
        <v>9.3859276060863819E-2</v>
      </c>
      <c r="BB36" s="477">
        <f t="shared" si="10"/>
        <v>7.7385171533881483E-2</v>
      </c>
      <c r="BC36" s="477">
        <f t="shared" si="11"/>
        <v>0.19807910405443721</v>
      </c>
      <c r="BD36" s="454"/>
    </row>
    <row r="37" spans="1:56" x14ac:dyDescent="0.25">
      <c r="A37" s="456">
        <v>2010</v>
      </c>
      <c r="B37" s="457">
        <v>166343</v>
      </c>
      <c r="C37" s="457">
        <v>34889</v>
      </c>
      <c r="D37" s="457">
        <f t="shared" si="1"/>
        <v>131454</v>
      </c>
      <c r="E37" s="458">
        <v>639</v>
      </c>
      <c r="F37" s="547">
        <v>1.8</v>
      </c>
      <c r="G37" s="457">
        <v>5168</v>
      </c>
      <c r="H37" s="547">
        <v>14.8</v>
      </c>
      <c r="I37" s="457">
        <v>5806</v>
      </c>
      <c r="J37" s="547">
        <v>16.600000000000001</v>
      </c>
      <c r="K37" s="457">
        <v>1999</v>
      </c>
      <c r="L37" s="547">
        <v>5.7</v>
      </c>
      <c r="M37" s="457">
        <v>26622</v>
      </c>
      <c r="N37" s="547">
        <v>76.3</v>
      </c>
      <c r="O37" s="490">
        <f t="shared" si="0"/>
        <v>0.83995719687633386</v>
      </c>
      <c r="P37" s="547"/>
      <c r="Q37" s="482">
        <f t="shared" si="12"/>
        <v>2.9434428958759452E-2</v>
      </c>
      <c r="R37" s="482">
        <f t="shared" si="2"/>
        <v>8.6340357386354621E-2</v>
      </c>
      <c r="S37" s="482">
        <f t="shared" si="2"/>
        <v>0.13621271940255911</v>
      </c>
      <c r="T37" s="482">
        <f t="shared" si="2"/>
        <v>0.2519875057476732</v>
      </c>
      <c r="U37" s="483">
        <f t="shared" si="13"/>
        <v>4896.2112162869234</v>
      </c>
      <c r="V37" s="483">
        <f t="shared" si="3"/>
        <v>14362.114068718387</v>
      </c>
      <c r="W37" s="483">
        <f t="shared" si="3"/>
        <v>22658.032383579888</v>
      </c>
      <c r="X37" s="483">
        <f t="shared" si="3"/>
        <v>41916.357668585202</v>
      </c>
      <c r="Y37" s="485">
        <f t="shared" si="4"/>
        <v>18619.32528500531</v>
      </c>
      <c r="Z37" s="485">
        <f t="shared" si="5"/>
        <v>17490.032383579888</v>
      </c>
      <c r="AA37" s="485">
        <f t="shared" si="6"/>
        <v>36109.357668585202</v>
      </c>
      <c r="AB37" s="488">
        <f t="shared" si="14"/>
        <v>0.14164137481556521</v>
      </c>
      <c r="AC37" s="488">
        <f t="shared" si="7"/>
        <v>0.13305059095637933</v>
      </c>
      <c r="AD37" s="487">
        <f t="shared" si="7"/>
        <v>0.2746919657719446</v>
      </c>
      <c r="AE37" s="485"/>
      <c r="AF37" s="485"/>
      <c r="AG37" s="483"/>
      <c r="AH37" s="547"/>
      <c r="AZ37" s="477">
        <f t="shared" si="8"/>
        <v>2.9434428958759452E-2</v>
      </c>
      <c r="BA37" s="477">
        <f t="shared" si="9"/>
        <v>8.6340357386354621E-2</v>
      </c>
      <c r="BB37" s="477">
        <f t="shared" si="10"/>
        <v>0.13621271940255911</v>
      </c>
      <c r="BC37" s="477">
        <f t="shared" si="11"/>
        <v>0.2519875057476732</v>
      </c>
      <c r="BD37" s="454"/>
    </row>
    <row r="38" spans="1:56" x14ac:dyDescent="0.25">
      <c r="A38" s="456">
        <v>2011</v>
      </c>
      <c r="B38" s="457">
        <v>123804</v>
      </c>
      <c r="C38" s="457">
        <v>30715</v>
      </c>
      <c r="D38" s="457">
        <f t="shared" si="1"/>
        <v>93089</v>
      </c>
      <c r="E38" s="458">
        <v>416</v>
      </c>
      <c r="F38" s="547">
        <v>1.4</v>
      </c>
      <c r="G38" s="457">
        <v>2257</v>
      </c>
      <c r="H38" s="547">
        <v>7.3</v>
      </c>
      <c r="I38" s="457">
        <v>2673</v>
      </c>
      <c r="J38" s="547">
        <v>8.6999999999999993</v>
      </c>
      <c r="K38" s="457">
        <v>3122</v>
      </c>
      <c r="L38" s="547">
        <v>10.199999999999999</v>
      </c>
      <c r="M38" s="457">
        <v>24526</v>
      </c>
      <c r="N38" s="547">
        <v>79.8</v>
      </c>
      <c r="O38" s="490">
        <f t="shared" si="0"/>
        <v>0.80189654615359762</v>
      </c>
      <c r="P38" s="547"/>
      <c r="Q38" s="482">
        <f t="shared" si="12"/>
        <v>1.7770101013754872E-2</v>
      </c>
      <c r="R38" s="482">
        <f t="shared" si="2"/>
        <v>5.4576366217817127E-2</v>
      </c>
      <c r="S38" s="482">
        <f t="shared" si="2"/>
        <v>7.0234854719250492E-2</v>
      </c>
      <c r="T38" s="482">
        <f t="shared" si="2"/>
        <v>0.14258132195082249</v>
      </c>
      <c r="U38" s="483">
        <f t="shared" si="13"/>
        <v>2200.0095859069083</v>
      </c>
      <c r="V38" s="483">
        <f t="shared" si="3"/>
        <v>6756.7724432306313</v>
      </c>
      <c r="W38" s="483">
        <f t="shared" si="3"/>
        <v>8695.3559536620887</v>
      </c>
      <c r="X38" s="483">
        <f t="shared" si="3"/>
        <v>17652.137982799628</v>
      </c>
      <c r="Y38" s="485">
        <f t="shared" si="4"/>
        <v>8540.7820291375392</v>
      </c>
      <c r="Z38" s="485">
        <f t="shared" si="5"/>
        <v>6438.3559536620887</v>
      </c>
      <c r="AA38" s="485">
        <f t="shared" si="6"/>
        <v>14979.137982799628</v>
      </c>
      <c r="AB38" s="488">
        <f t="shared" si="14"/>
        <v>9.1748563515963638E-2</v>
      </c>
      <c r="AC38" s="488">
        <f t="shared" si="7"/>
        <v>6.9163445236946244E-2</v>
      </c>
      <c r="AD38" s="487">
        <f t="shared" si="7"/>
        <v>0.16091200875290987</v>
      </c>
      <c r="AE38" s="485"/>
      <c r="AF38" s="485"/>
      <c r="AG38" s="483"/>
      <c r="AH38" s="547"/>
      <c r="AZ38" s="477">
        <f t="shared" si="8"/>
        <v>1.7770101013754872E-2</v>
      </c>
      <c r="BA38" s="477">
        <f t="shared" si="9"/>
        <v>5.4576366217817127E-2</v>
      </c>
      <c r="BB38" s="477">
        <f t="shared" si="10"/>
        <v>7.0234854719250492E-2</v>
      </c>
      <c r="BC38" s="477">
        <f t="shared" si="11"/>
        <v>0.14258132195082249</v>
      </c>
      <c r="BD38" s="454"/>
    </row>
    <row r="39" spans="1:56" x14ac:dyDescent="0.25">
      <c r="A39" s="456">
        <v>2012</v>
      </c>
      <c r="B39" s="457">
        <v>115242</v>
      </c>
      <c r="C39" s="457">
        <v>35626</v>
      </c>
      <c r="D39" s="457">
        <f t="shared" si="1"/>
        <v>79616</v>
      </c>
      <c r="E39" s="458">
        <v>443</v>
      </c>
      <c r="F39" s="547">
        <v>1.2</v>
      </c>
      <c r="G39" s="457">
        <v>3305</v>
      </c>
      <c r="H39" s="547">
        <v>9.3000000000000007</v>
      </c>
      <c r="I39" s="457">
        <v>3748</v>
      </c>
      <c r="J39" s="547">
        <v>10.5</v>
      </c>
      <c r="K39" s="457">
        <v>5951</v>
      </c>
      <c r="L39" s="547">
        <v>16.7</v>
      </c>
      <c r="M39" s="457">
        <v>25634</v>
      </c>
      <c r="N39" s="547">
        <v>72</v>
      </c>
      <c r="O39" s="490">
        <f t="shared" si="0"/>
        <v>0.77756373544367507</v>
      </c>
      <c r="P39" s="547"/>
      <c r="Q39" s="482">
        <f t="shared" si="12"/>
        <v>2.3738244128219017E-2</v>
      </c>
      <c r="R39" s="482">
        <f t="shared" si="2"/>
        <v>5.7629622334925405E-2</v>
      </c>
      <c r="S39" s="482">
        <f t="shared" si="2"/>
        <v>8.7158402678615396E-2</v>
      </c>
      <c r="T39" s="482">
        <f t="shared" si="2"/>
        <v>0.1685262691417598</v>
      </c>
      <c r="U39" s="483">
        <f t="shared" si="13"/>
        <v>2735.6427298242161</v>
      </c>
      <c r="V39" s="483">
        <f t="shared" si="3"/>
        <v>6641.3529371214736</v>
      </c>
      <c r="W39" s="483">
        <f t="shared" si="3"/>
        <v>10044.308641488995</v>
      </c>
      <c r="X39" s="483">
        <f t="shared" si="3"/>
        <v>19421.304308434683</v>
      </c>
      <c r="Y39" s="485">
        <f t="shared" si="4"/>
        <v>8933.9956669456897</v>
      </c>
      <c r="Z39" s="485">
        <f t="shared" si="5"/>
        <v>6739.3086414889949</v>
      </c>
      <c r="AA39" s="485">
        <f t="shared" si="6"/>
        <v>15673.304308434685</v>
      </c>
      <c r="AB39" s="488">
        <f t="shared" si="14"/>
        <v>0.11221357097751318</v>
      </c>
      <c r="AC39" s="488">
        <f t="shared" si="7"/>
        <v>8.4647666819345296E-2</v>
      </c>
      <c r="AD39" s="487">
        <f t="shared" si="7"/>
        <v>0.19686123779685849</v>
      </c>
      <c r="AE39" s="485"/>
      <c r="AF39" s="485"/>
      <c r="AG39" s="483"/>
      <c r="AH39" s="547"/>
      <c r="AZ39" s="477">
        <f t="shared" si="8"/>
        <v>2.3738244128219017E-2</v>
      </c>
      <c r="BA39" s="477">
        <f t="shared" si="9"/>
        <v>5.7629622334925405E-2</v>
      </c>
      <c r="BB39" s="477">
        <f t="shared" si="10"/>
        <v>8.7158402678615396E-2</v>
      </c>
      <c r="BC39" s="477">
        <f t="shared" si="11"/>
        <v>0.1685262691417598</v>
      </c>
      <c r="BD39" s="454"/>
    </row>
    <row r="40" spans="1:56" x14ac:dyDescent="0.25">
      <c r="A40" s="456">
        <v>2013</v>
      </c>
      <c r="B40" s="457">
        <v>68888</v>
      </c>
      <c r="C40" s="457">
        <v>22464</v>
      </c>
      <c r="D40" s="457">
        <f t="shared" si="1"/>
        <v>46424</v>
      </c>
      <c r="E40" s="458">
        <v>301</v>
      </c>
      <c r="F40" s="547">
        <v>1.3</v>
      </c>
      <c r="G40" s="457">
        <v>1756</v>
      </c>
      <c r="H40" s="547">
        <v>7.8</v>
      </c>
      <c r="I40" s="457">
        <v>2057</v>
      </c>
      <c r="J40" s="547">
        <v>9.1999999999999993</v>
      </c>
      <c r="K40" s="457">
        <v>5622</v>
      </c>
      <c r="L40" s="547">
        <v>25</v>
      </c>
      <c r="M40" s="457">
        <v>14576</v>
      </c>
      <c r="N40" s="547">
        <v>64.900000000000006</v>
      </c>
      <c r="O40" s="490">
        <f t="shared" si="0"/>
        <v>0.78841017303449079</v>
      </c>
      <c r="P40" s="547"/>
      <c r="Q40" s="482">
        <f t="shared" si="12"/>
        <v>1.5040280665280665E-2</v>
      </c>
      <c r="R40" s="482">
        <f t="shared" si="2"/>
        <v>5.2267411642411644E-2</v>
      </c>
      <c r="S40" s="482">
        <f t="shared" si="2"/>
        <v>7.5380067567567571E-2</v>
      </c>
      <c r="T40" s="482">
        <f t="shared" si="2"/>
        <v>0.14268775987525986</v>
      </c>
      <c r="U40" s="483">
        <f t="shared" si="13"/>
        <v>1036.0948544698545</v>
      </c>
      <c r="V40" s="483">
        <f t="shared" si="3"/>
        <v>3600.5974532224532</v>
      </c>
      <c r="W40" s="483">
        <f t="shared" si="3"/>
        <v>5192.782094594595</v>
      </c>
      <c r="X40" s="483">
        <f t="shared" si="3"/>
        <v>9829.4744022869017</v>
      </c>
      <c r="Y40" s="485">
        <f t="shared" si="4"/>
        <v>4335.6923076923076</v>
      </c>
      <c r="Z40" s="485">
        <f t="shared" si="5"/>
        <v>3436.782094594595</v>
      </c>
      <c r="AA40" s="485">
        <f t="shared" si="6"/>
        <v>7772.4744022869027</v>
      </c>
      <c r="AB40" s="488">
        <f t="shared" si="14"/>
        <v>9.3393337663542728E-2</v>
      </c>
      <c r="AC40" s="488">
        <f t="shared" si="7"/>
        <v>7.4030288096557706E-2</v>
      </c>
      <c r="AD40" s="487">
        <f t="shared" si="7"/>
        <v>0.16742362576010045</v>
      </c>
      <c r="AE40" s="485"/>
      <c r="AF40" s="485"/>
      <c r="AG40" s="483"/>
      <c r="AH40" s="547"/>
      <c r="AZ40" s="477">
        <f t="shared" si="8"/>
        <v>1.5040280665280665E-2</v>
      </c>
      <c r="BA40" s="477">
        <f t="shared" si="9"/>
        <v>5.2267411642411644E-2</v>
      </c>
      <c r="BB40" s="477">
        <f t="shared" si="10"/>
        <v>7.5380067567567571E-2</v>
      </c>
      <c r="BC40" s="477">
        <f t="shared" si="11"/>
        <v>0.14268775987525986</v>
      </c>
      <c r="BD40" s="454"/>
    </row>
    <row r="41" spans="1:56" x14ac:dyDescent="0.25">
      <c r="A41" s="456">
        <v>2014</v>
      </c>
      <c r="B41" s="457">
        <v>137718</v>
      </c>
      <c r="C41" s="457">
        <v>45959</v>
      </c>
      <c r="D41" s="457">
        <f t="shared" si="1"/>
        <v>91759</v>
      </c>
      <c r="E41" s="458">
        <v>729</v>
      </c>
      <c r="F41" s="547">
        <v>1.6</v>
      </c>
      <c r="G41" s="457">
        <v>4970</v>
      </c>
      <c r="H41" s="547">
        <v>10.8</v>
      </c>
      <c r="I41" s="457">
        <v>5699</v>
      </c>
      <c r="J41" s="547">
        <v>12.4</v>
      </c>
      <c r="K41" s="457">
        <v>7279</v>
      </c>
      <c r="L41" s="547">
        <v>15.8</v>
      </c>
      <c r="M41" s="457">
        <v>32065</v>
      </c>
      <c r="N41" s="547">
        <v>69.8</v>
      </c>
      <c r="O41" s="490">
        <f t="shared" si="0"/>
        <v>0.76716914274096348</v>
      </c>
      <c r="P41" s="547"/>
      <c r="Q41" s="482">
        <f t="shared" si="12"/>
        <v>1.6889566633008429E-2</v>
      </c>
      <c r="R41" s="482">
        <f t="shared" si="2"/>
        <v>7.3278793249119054E-2</v>
      </c>
      <c r="S41" s="482">
        <f t="shared" si="2"/>
        <v>0.10181136274651226</v>
      </c>
      <c r="T41" s="482">
        <f t="shared" si="2"/>
        <v>0.19197972262863972</v>
      </c>
      <c r="U41" s="483">
        <f t="shared" si="13"/>
        <v>2325.9973375646546</v>
      </c>
      <c r="V41" s="483">
        <f t="shared" si="3"/>
        <v>10091.808848682178</v>
      </c>
      <c r="W41" s="483">
        <f t="shared" si="3"/>
        <v>14021.257254724174</v>
      </c>
      <c r="X41" s="483">
        <f t="shared" si="3"/>
        <v>26439.063440971004</v>
      </c>
      <c r="Y41" s="485">
        <f t="shared" si="4"/>
        <v>11688.806186246833</v>
      </c>
      <c r="Z41" s="485">
        <f t="shared" si="5"/>
        <v>9051.2572547241743</v>
      </c>
      <c r="AA41" s="485">
        <f t="shared" si="6"/>
        <v>20740.063440971007</v>
      </c>
      <c r="AB41" s="488">
        <f t="shared" si="14"/>
        <v>0.12738593692440886</v>
      </c>
      <c r="AC41" s="488">
        <f t="shared" si="7"/>
        <v>9.8641629210477172E-2</v>
      </c>
      <c r="AD41" s="487">
        <f t="shared" si="7"/>
        <v>0.22602756613488603</v>
      </c>
      <c r="AE41" s="485"/>
      <c r="AF41" s="485"/>
      <c r="AG41" s="483"/>
      <c r="AH41" s="547"/>
      <c r="AZ41" s="477">
        <f t="shared" si="8"/>
        <v>1.6889566633008429E-2</v>
      </c>
      <c r="BA41" s="477">
        <f t="shared" si="9"/>
        <v>7.3278793249119054E-2</v>
      </c>
      <c r="BB41" s="477">
        <f t="shared" si="10"/>
        <v>0.10181136274651226</v>
      </c>
      <c r="BC41" s="477">
        <f t="shared" si="11"/>
        <v>0.19197972262863972</v>
      </c>
      <c r="BD41" s="454"/>
    </row>
    <row r="42" spans="1:56" x14ac:dyDescent="0.25">
      <c r="A42" s="456">
        <v>2015</v>
      </c>
      <c r="B42" s="457">
        <v>163668</v>
      </c>
      <c r="C42" s="457">
        <v>30115</v>
      </c>
      <c r="D42" s="457">
        <f t="shared" si="1"/>
        <v>133553</v>
      </c>
      <c r="E42" s="458">
        <v>545</v>
      </c>
      <c r="F42" s="547">
        <v>1.8</v>
      </c>
      <c r="G42" s="457">
        <v>3454</v>
      </c>
      <c r="H42" s="547">
        <v>11.5</v>
      </c>
      <c r="I42" s="457">
        <v>3999</v>
      </c>
      <c r="J42" s="547">
        <v>13.3</v>
      </c>
      <c r="K42" s="457">
        <v>3324</v>
      </c>
      <c r="L42" s="547">
        <v>11</v>
      </c>
      <c r="M42" s="457">
        <v>22577</v>
      </c>
      <c r="N42" s="547">
        <v>75</v>
      </c>
      <c r="O42" s="490">
        <f t="shared" si="0"/>
        <v>0.86205611359581591</v>
      </c>
      <c r="P42" s="547"/>
      <c r="Q42" s="482">
        <f t="shared" si="12"/>
        <v>2.3592185304885223E-2</v>
      </c>
      <c r="R42" s="482">
        <f t="shared" si="2"/>
        <v>5.9987404582794106E-2</v>
      </c>
      <c r="S42" s="482">
        <f t="shared" si="2"/>
        <v>0.10789497359806778</v>
      </c>
      <c r="T42" s="482">
        <f t="shared" si="2"/>
        <v>0.1914745634857471</v>
      </c>
      <c r="U42" s="483">
        <f t="shared" si="13"/>
        <v>3861.2857844799546</v>
      </c>
      <c r="V42" s="483">
        <f t="shared" si="3"/>
        <v>9818.0185332567453</v>
      </c>
      <c r="W42" s="483">
        <f t="shared" si="3"/>
        <v>17658.954538848557</v>
      </c>
      <c r="X42" s="483">
        <f t="shared" si="3"/>
        <v>31338.258856585257</v>
      </c>
      <c r="Y42" s="485">
        <f t="shared" si="4"/>
        <v>13134.3043177367</v>
      </c>
      <c r="Z42" s="485">
        <f t="shared" si="5"/>
        <v>14204.954538848557</v>
      </c>
      <c r="AA42" s="485">
        <f t="shared" si="6"/>
        <v>27339.258856585257</v>
      </c>
      <c r="AB42" s="488">
        <f t="shared" si="14"/>
        <v>9.834525856953194E-2</v>
      </c>
      <c r="AC42" s="488">
        <f t="shared" si="7"/>
        <v>0.10636192776537072</v>
      </c>
      <c r="AD42" s="487">
        <f t="shared" si="7"/>
        <v>0.20470718633490267</v>
      </c>
      <c r="AE42" s="485"/>
      <c r="AF42" s="485"/>
      <c r="AG42" s="483"/>
      <c r="AH42" s="547"/>
      <c r="AZ42" s="477">
        <f t="shared" si="8"/>
        <v>2.3592185304885223E-2</v>
      </c>
      <c r="BA42" s="477">
        <f t="shared" si="9"/>
        <v>5.9987404582794106E-2</v>
      </c>
      <c r="BB42" s="477">
        <f t="shared" si="10"/>
        <v>0.10789497359806778</v>
      </c>
      <c r="BC42" s="477">
        <f t="shared" si="11"/>
        <v>0.1914745634857471</v>
      </c>
      <c r="BD42" s="454"/>
    </row>
    <row r="43" spans="1:56" ht="15.75" thickBot="1" x14ac:dyDescent="0.3">
      <c r="A43" s="455">
        <v>2016</v>
      </c>
      <c r="B43" s="459">
        <v>113467</v>
      </c>
      <c r="C43" s="459">
        <v>24239</v>
      </c>
      <c r="D43" s="481">
        <f t="shared" si="1"/>
        <v>89228</v>
      </c>
      <c r="E43" s="460">
        <v>378</v>
      </c>
      <c r="F43" s="548">
        <v>1.6</v>
      </c>
      <c r="G43" s="459">
        <v>2328</v>
      </c>
      <c r="H43" s="548">
        <v>9.6</v>
      </c>
      <c r="I43" s="459">
        <v>2706</v>
      </c>
      <c r="J43" s="548">
        <v>11.2</v>
      </c>
      <c r="K43" s="459">
        <v>5132</v>
      </c>
      <c r="L43" s="548">
        <v>21.2</v>
      </c>
      <c r="M43" s="459">
        <v>16161</v>
      </c>
      <c r="N43" s="548">
        <v>66.7</v>
      </c>
      <c r="O43" s="490">
        <f>1-(M43/B43)</f>
        <v>0.85757092370468946</v>
      </c>
      <c r="P43" s="480"/>
      <c r="Q43" s="482">
        <f t="shared" si="12"/>
        <v>1.8677854921838394E-2</v>
      </c>
      <c r="R43" s="482">
        <f t="shared" si="2"/>
        <v>6.2012821058908721E-2</v>
      </c>
      <c r="S43" s="482">
        <f t="shared" si="2"/>
        <v>9.0865527963538778E-2</v>
      </c>
      <c r="T43" s="482">
        <f t="shared" si="2"/>
        <v>0.17155620394428589</v>
      </c>
      <c r="U43" s="483">
        <f t="shared" si="13"/>
        <v>2119.3201644162373</v>
      </c>
      <c r="V43" s="483">
        <f t="shared" si="3"/>
        <v>7036.4087670911958</v>
      </c>
      <c r="W43" s="483">
        <f t="shared" si="3"/>
        <v>10310.238861438855</v>
      </c>
      <c r="X43" s="483">
        <f t="shared" si="3"/>
        <v>19465.967792946289</v>
      </c>
      <c r="Y43" s="485">
        <f>U43+V43-E43</f>
        <v>8777.728931507434</v>
      </c>
      <c r="Z43" s="485">
        <f>W43-G43</f>
        <v>7982.2388614388547</v>
      </c>
      <c r="AA43" s="485">
        <f>Y43+Z43</f>
        <v>16759.967792946289</v>
      </c>
      <c r="AB43" s="488">
        <f t="shared" si="14"/>
        <v>9.8374153085437691E-2</v>
      </c>
      <c r="AC43" s="488">
        <f t="shared" si="7"/>
        <v>8.9458901482033157E-2</v>
      </c>
      <c r="AD43" s="487">
        <f t="shared" si="7"/>
        <v>0.18783305456747085</v>
      </c>
      <c r="AE43" s="485"/>
      <c r="AF43" s="485"/>
      <c r="AG43" s="483"/>
      <c r="AH43" s="480"/>
      <c r="AZ43" s="477">
        <f t="shared" si="8"/>
        <v>1.8677854921838394E-2</v>
      </c>
      <c r="BA43" s="477">
        <f t="shared" si="9"/>
        <v>6.2012821058908721E-2</v>
      </c>
      <c r="BB43" s="477">
        <f t="shared" si="10"/>
        <v>9.0865527963538778E-2</v>
      </c>
      <c r="BC43" s="477">
        <f t="shared" si="11"/>
        <v>0.17155620394428589</v>
      </c>
      <c r="BD43" s="454"/>
    </row>
    <row r="44" spans="1:56" ht="15.75" thickTop="1" x14ac:dyDescent="0.25">
      <c r="B44" s="461">
        <f t="shared" ref="B44:J44" si="15">AVERAGE(B34:B43)</f>
        <v>112579.5</v>
      </c>
      <c r="C44" s="461">
        <f t="shared" si="15"/>
        <v>27900.2</v>
      </c>
      <c r="D44" s="461">
        <f t="shared" si="15"/>
        <v>84679.3</v>
      </c>
      <c r="E44" s="461">
        <f t="shared" si="15"/>
        <v>442.8</v>
      </c>
      <c r="F44" s="439">
        <f t="shared" si="15"/>
        <v>1.5699999999999998</v>
      </c>
      <c r="G44" s="461">
        <f t="shared" si="15"/>
        <v>2900.2</v>
      </c>
      <c r="H44" s="439">
        <f t="shared" si="15"/>
        <v>10.029999999999998</v>
      </c>
      <c r="I44" s="461">
        <f t="shared" si="15"/>
        <v>3342.9</v>
      </c>
      <c r="J44" s="439">
        <f t="shared" si="15"/>
        <v>11.610000000000001</v>
      </c>
      <c r="O44" s="478">
        <f>AVERAGE(O34:O43)</f>
        <v>0.81990611513810541</v>
      </c>
      <c r="Q44" s="454">
        <f>AVERAGE(Q34:Q43)</f>
        <v>2.2447712514009541E-2</v>
      </c>
      <c r="R44" s="454">
        <f t="shared" ref="R44:X44" si="16">AVERAGE(R34:R43)</f>
        <v>7.2360714765767511E-2</v>
      </c>
      <c r="S44" s="454">
        <f t="shared" si="16"/>
        <v>9.3193692151671448E-2</v>
      </c>
      <c r="T44" s="454">
        <f t="shared" si="16"/>
        <v>0.18800327889206742</v>
      </c>
      <c r="U44" s="461">
        <f t="shared" si="16"/>
        <v>2593.7053380044113</v>
      </c>
      <c r="V44" s="461">
        <f t="shared" si="16"/>
        <v>8185.9799591461733</v>
      </c>
      <c r="W44" s="461">
        <f t="shared" si="16"/>
        <v>11062.040548288196</v>
      </c>
      <c r="X44" s="461">
        <f t="shared" si="16"/>
        <v>21841.778673942961</v>
      </c>
      <c r="Y44" s="461">
        <f>AVERAGE(Y34:Y43)</f>
        <v>10336.885297150586</v>
      </c>
      <c r="Z44" s="461">
        <f t="shared" ref="Z44:AA44" si="17">AVERAGE(Z34:Z43)</f>
        <v>8161.8405482881935</v>
      </c>
      <c r="AA44" s="461">
        <f t="shared" si="17"/>
        <v>18498.725845438781</v>
      </c>
      <c r="AB44" s="489">
        <f>AVERAGE(AB34:AB43)</f>
        <v>0.12128409371923572</v>
      </c>
      <c r="AC44" s="489">
        <f t="shared" ref="AC44:AD44" si="18">AVERAGE(AC34:AC43)</f>
        <v>9.0888603120244632E-2</v>
      </c>
      <c r="AD44" s="454">
        <f t="shared" si="18"/>
        <v>0.21217269683948037</v>
      </c>
      <c r="AE44" s="461"/>
      <c r="AF44" s="461"/>
      <c r="BC44" s="477"/>
    </row>
    <row r="45" spans="1:56" x14ac:dyDescent="0.25">
      <c r="Q45" s="486"/>
      <c r="R45" s="486">
        <f>R44+Q44</f>
        <v>9.4808427279777049E-2</v>
      </c>
      <c r="S45" s="486"/>
      <c r="T45" s="486"/>
      <c r="AZ45" s="477">
        <f>AVERAGE(AZ34:AZ43)</f>
        <v>2.2447712514009541E-2</v>
      </c>
      <c r="BA45" s="477">
        <f t="shared" ref="BA45:BC45" si="19">AVERAGE(BA34:BA43)</f>
        <v>7.2360714765767511E-2</v>
      </c>
      <c r="BB45" s="477">
        <f t="shared" si="19"/>
        <v>9.3193692151671448E-2</v>
      </c>
      <c r="BC45" s="477">
        <f t="shared" si="19"/>
        <v>0.18800327889206742</v>
      </c>
    </row>
  </sheetData>
  <mergeCells count="29">
    <mergeCell ref="AL2:AP3"/>
    <mergeCell ref="AQ2:AQ6"/>
    <mergeCell ref="AR2:AV2"/>
    <mergeCell ref="AW2:AX2"/>
    <mergeCell ref="AR3:AV3"/>
    <mergeCell ref="AW3:AX3"/>
    <mergeCell ref="AW4:AX4"/>
    <mergeCell ref="A4:A6"/>
    <mergeCell ref="B4:C4"/>
    <mergeCell ref="E4:F4"/>
    <mergeCell ref="G4:H4"/>
    <mergeCell ref="I4:J4"/>
    <mergeCell ref="B5:C5"/>
    <mergeCell ref="E5:F5"/>
    <mergeCell ref="G5:H5"/>
    <mergeCell ref="I5:J5"/>
    <mergeCell ref="K5:L5"/>
    <mergeCell ref="M5:N5"/>
    <mergeCell ref="AR5:AR6"/>
    <mergeCell ref="AS5:AS6"/>
    <mergeCell ref="AW5:AX5"/>
    <mergeCell ref="AW6:AX6"/>
    <mergeCell ref="AP4:AP6"/>
    <mergeCell ref="K4:L4"/>
    <mergeCell ref="M4:N4"/>
    <mergeCell ref="AL4:AL6"/>
    <mergeCell ref="AM4:AM6"/>
    <mergeCell ref="AN4:AN6"/>
    <mergeCell ref="AO4:AO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A4583-8FF4-4189-8BC4-9B94495050AA}">
  <dimension ref="A1:S74"/>
  <sheetViews>
    <sheetView workbookViewId="0">
      <selection sqref="A1:XFD1048576"/>
    </sheetView>
  </sheetViews>
  <sheetFormatPr defaultRowHeight="15" x14ac:dyDescent="0.25"/>
  <cols>
    <col min="1" max="1" width="2.28515625" style="420" customWidth="1"/>
    <col min="2" max="2" width="9.140625" style="563"/>
    <col min="3" max="3" width="19.140625" style="563" customWidth="1"/>
    <col min="4" max="4" width="9.140625" style="563"/>
    <col min="5" max="5" width="12.140625" style="563" customWidth="1"/>
    <col min="6" max="6" width="11" style="563" customWidth="1"/>
    <col min="7" max="7" width="9.28515625" style="563" customWidth="1"/>
    <col min="8" max="8" width="9.7109375" style="563" customWidth="1"/>
    <col min="9" max="9" width="11.5703125" style="563" customWidth="1"/>
    <col min="10" max="10" width="5.140625" style="563" customWidth="1"/>
    <col min="11" max="11" width="11.42578125" style="563" customWidth="1"/>
    <col min="12" max="12" width="14.5703125" style="563" customWidth="1"/>
    <col min="13" max="13" width="9.7109375" style="563" customWidth="1"/>
    <col min="14" max="14" width="10.28515625" style="420" customWidth="1"/>
    <col min="15" max="15" width="11.85546875" style="420" customWidth="1"/>
    <col min="16" max="16" width="11.42578125" style="420" customWidth="1"/>
    <col min="17" max="17" width="13.42578125" style="420" customWidth="1"/>
    <col min="18" max="18" width="12.28515625" style="420" customWidth="1"/>
    <col min="19" max="19" width="2.28515625" style="420" customWidth="1"/>
    <col min="20" max="16384" width="9.140625" style="420"/>
  </cols>
  <sheetData>
    <row r="1" spans="1:19" s="11" customFormat="1" ht="21" customHeight="1" x14ac:dyDescent="0.3">
      <c r="A1" s="553"/>
      <c r="B1" s="553" t="s">
        <v>399</v>
      </c>
      <c r="C1" s="554"/>
      <c r="D1" s="554"/>
      <c r="E1" s="553"/>
      <c r="F1" s="555" t="s">
        <v>36</v>
      </c>
      <c r="G1" s="556"/>
      <c r="H1" s="557" t="s">
        <v>36</v>
      </c>
      <c r="I1" s="553"/>
      <c r="J1" s="558"/>
      <c r="K1" s="558"/>
      <c r="L1" s="558"/>
      <c r="M1" s="553" t="s">
        <v>400</v>
      </c>
      <c r="N1" s="558"/>
      <c r="O1" s="558"/>
      <c r="P1" s="558"/>
      <c r="Q1" s="558"/>
      <c r="R1" s="558"/>
      <c r="S1" s="558"/>
    </row>
    <row r="2" spans="1:19" s="437" customFormat="1" ht="6.6" customHeight="1" x14ac:dyDescent="0.25">
      <c r="B2" s="559"/>
      <c r="C2" s="560"/>
      <c r="D2" s="560"/>
      <c r="E2" s="561"/>
      <c r="F2" s="562"/>
      <c r="G2" s="562"/>
      <c r="H2" s="562"/>
      <c r="I2" s="562"/>
      <c r="J2" s="562"/>
      <c r="K2" s="562"/>
      <c r="L2" s="562"/>
      <c r="M2" s="562"/>
    </row>
    <row r="3" spans="1:19" x14ac:dyDescent="0.25">
      <c r="A3" s="437"/>
      <c r="B3" s="562"/>
      <c r="C3" s="562"/>
      <c r="D3" s="562"/>
      <c r="E3" s="562"/>
      <c r="F3" s="562"/>
      <c r="K3" s="562"/>
      <c r="L3" s="16" t="s">
        <v>38</v>
      </c>
      <c r="M3" s="17"/>
      <c r="N3" s="18"/>
      <c r="O3" s="18"/>
      <c r="P3" s="18"/>
      <c r="Q3" s="18"/>
      <c r="R3" s="19"/>
      <c r="S3" s="437"/>
    </row>
    <row r="4" spans="1:19" x14ac:dyDescent="0.25">
      <c r="A4" s="437"/>
      <c r="B4" s="562"/>
      <c r="C4" s="562"/>
      <c r="D4" s="562"/>
      <c r="E4" s="562"/>
      <c r="F4" s="562"/>
      <c r="K4" s="562"/>
      <c r="L4" s="20"/>
      <c r="M4" s="21"/>
      <c r="N4" s="21"/>
      <c r="O4" s="22" t="s">
        <v>39</v>
      </c>
      <c r="P4" s="22" t="s">
        <v>40</v>
      </c>
      <c r="Q4" s="22" t="s">
        <v>41</v>
      </c>
      <c r="R4" s="23" t="s">
        <v>42</v>
      </c>
      <c r="S4" s="437"/>
    </row>
    <row r="5" spans="1:19" x14ac:dyDescent="0.25">
      <c r="A5" s="437"/>
      <c r="B5" s="562"/>
      <c r="C5" s="562"/>
      <c r="D5" s="562"/>
      <c r="E5" s="562"/>
      <c r="F5" s="562"/>
      <c r="K5" s="562"/>
      <c r="L5" s="491" t="s">
        <v>43</v>
      </c>
      <c r="M5" s="492"/>
      <c r="N5" s="493"/>
      <c r="O5" s="494"/>
      <c r="P5" s="494"/>
      <c r="Q5" s="494"/>
      <c r="R5" s="495"/>
      <c r="S5" s="437"/>
    </row>
    <row r="6" spans="1:19" x14ac:dyDescent="0.25">
      <c r="A6" s="437"/>
      <c r="B6" s="562"/>
      <c r="C6" s="562"/>
      <c r="D6" s="562"/>
      <c r="E6" s="562"/>
      <c r="F6" s="562"/>
      <c r="K6" s="562"/>
      <c r="L6" s="496" t="s">
        <v>401</v>
      </c>
      <c r="M6" s="497"/>
      <c r="N6" s="498"/>
      <c r="O6" s="499"/>
      <c r="P6" s="499"/>
      <c r="Q6" s="499"/>
      <c r="R6" s="500"/>
      <c r="S6" s="437"/>
    </row>
    <row r="7" spans="1:19" x14ac:dyDescent="0.25">
      <c r="A7" s="437"/>
      <c r="B7" s="562"/>
      <c r="C7" s="562"/>
      <c r="D7" s="562"/>
      <c r="E7" s="562"/>
      <c r="F7" s="562"/>
      <c r="K7" s="562"/>
      <c r="L7" s="496" t="s">
        <v>45</v>
      </c>
      <c r="M7" s="497"/>
      <c r="N7" s="498"/>
      <c r="O7" s="499"/>
      <c r="P7" s="499"/>
      <c r="Q7" s="499"/>
      <c r="R7" s="500"/>
      <c r="S7" s="437"/>
    </row>
    <row r="8" spans="1:19" x14ac:dyDescent="0.25">
      <c r="A8" s="437"/>
      <c r="B8" s="562"/>
      <c r="C8" s="562"/>
      <c r="D8" s="562"/>
      <c r="E8" s="562"/>
      <c r="F8" s="562"/>
      <c r="K8" s="562"/>
      <c r="L8" s="496" t="s">
        <v>46</v>
      </c>
      <c r="M8" s="497"/>
      <c r="N8" s="498"/>
      <c r="O8" s="501"/>
      <c r="P8" s="499"/>
      <c r="Q8" s="501"/>
      <c r="R8" s="502"/>
      <c r="S8" s="437"/>
    </row>
    <row r="9" spans="1:19" s="564" customFormat="1" ht="14.25" customHeight="1" x14ac:dyDescent="0.25">
      <c r="A9" s="437"/>
      <c r="B9" s="562"/>
      <c r="C9" s="562"/>
      <c r="D9" s="562"/>
      <c r="E9" s="562"/>
      <c r="F9" s="562"/>
      <c r="K9" s="437"/>
      <c r="L9" s="503" t="s">
        <v>227</v>
      </c>
      <c r="M9" s="504"/>
      <c r="N9" s="505"/>
      <c r="O9" s="506"/>
      <c r="P9" s="506"/>
      <c r="Q9" s="506"/>
      <c r="R9" s="507"/>
      <c r="S9" s="437"/>
    </row>
    <row r="10" spans="1:19" x14ac:dyDescent="0.25">
      <c r="A10" s="437"/>
      <c r="B10" s="562"/>
      <c r="C10" s="562"/>
      <c r="D10" s="562"/>
      <c r="E10" s="562"/>
      <c r="F10" s="562"/>
      <c r="L10" s="562"/>
      <c r="M10" s="562"/>
      <c r="N10" s="437"/>
      <c r="O10" s="437"/>
      <c r="P10" s="437"/>
      <c r="Q10" s="437"/>
      <c r="R10" s="437"/>
      <c r="S10" s="437"/>
    </row>
    <row r="11" spans="1:19" x14ac:dyDescent="0.25">
      <c r="A11" s="437"/>
      <c r="B11" s="562"/>
      <c r="C11" s="562"/>
      <c r="D11" s="562"/>
      <c r="E11" s="562"/>
      <c r="F11" s="562"/>
      <c r="G11" s="562"/>
      <c r="H11" s="562"/>
      <c r="I11" s="562"/>
      <c r="J11" s="562"/>
      <c r="K11" s="562"/>
      <c r="L11" s="562"/>
      <c r="M11" s="562"/>
      <c r="N11" s="437"/>
      <c r="O11" s="437"/>
      <c r="P11" s="437"/>
      <c r="Q11" s="437"/>
      <c r="R11" s="437"/>
      <c r="S11" s="437"/>
    </row>
    <row r="12" spans="1:19" x14ac:dyDescent="0.25">
      <c r="A12" s="437"/>
      <c r="B12" s="562"/>
      <c r="C12" s="562"/>
      <c r="D12" s="562"/>
      <c r="E12" s="562"/>
      <c r="F12" s="562"/>
      <c r="G12" s="562"/>
      <c r="H12" s="562"/>
      <c r="I12" s="562"/>
      <c r="J12" s="562"/>
      <c r="K12" s="562"/>
      <c r="L12" s="562"/>
      <c r="M12" s="562"/>
      <c r="N12" s="437"/>
      <c r="O12" s="437"/>
      <c r="P12" s="437"/>
      <c r="Q12" s="437"/>
      <c r="R12" s="437"/>
      <c r="S12" s="437"/>
    </row>
    <row r="13" spans="1:19" x14ac:dyDescent="0.25">
      <c r="A13" s="437"/>
      <c r="B13" s="562"/>
      <c r="C13" s="562"/>
      <c r="D13" s="562"/>
      <c r="E13" s="562"/>
      <c r="F13" s="562"/>
      <c r="G13" s="562"/>
      <c r="H13" s="562"/>
      <c r="I13" s="562"/>
      <c r="J13" s="562"/>
      <c r="K13" s="562"/>
      <c r="L13" s="562"/>
      <c r="M13" s="562"/>
      <c r="N13" s="437"/>
      <c r="O13" s="437"/>
      <c r="P13" s="437"/>
      <c r="Q13" s="437"/>
      <c r="R13" s="437"/>
      <c r="S13" s="437"/>
    </row>
    <row r="14" spans="1:19" x14ac:dyDescent="0.25">
      <c r="A14" s="437"/>
      <c r="B14" s="562"/>
      <c r="C14" s="562"/>
      <c r="D14" s="562"/>
      <c r="E14" s="562"/>
      <c r="F14" s="562"/>
      <c r="G14" s="562"/>
      <c r="H14" s="562"/>
      <c r="I14" s="562"/>
      <c r="J14" s="562"/>
      <c r="K14" s="562"/>
      <c r="L14" s="562"/>
      <c r="M14" s="562"/>
      <c r="N14" s="437"/>
      <c r="O14" s="437"/>
      <c r="P14" s="437"/>
      <c r="Q14" s="437"/>
      <c r="R14" s="437"/>
      <c r="S14" s="437"/>
    </row>
    <row r="15" spans="1:19" x14ac:dyDescent="0.25">
      <c r="A15" s="437"/>
      <c r="B15" s="562"/>
      <c r="C15" s="562"/>
      <c r="D15" s="562"/>
      <c r="E15" s="562"/>
      <c r="F15" s="562"/>
      <c r="G15" s="562"/>
      <c r="H15" s="562"/>
      <c r="I15" s="562"/>
      <c r="J15" s="562"/>
      <c r="K15" s="562"/>
      <c r="L15" s="562"/>
      <c r="M15" s="562"/>
      <c r="N15" s="437"/>
      <c r="O15" s="437"/>
      <c r="P15" s="437"/>
      <c r="Q15" s="437"/>
      <c r="R15" s="437"/>
      <c r="S15" s="437"/>
    </row>
    <row r="16" spans="1:19" x14ac:dyDescent="0.25">
      <c r="B16" s="562"/>
      <c r="C16" s="562"/>
      <c r="D16" s="562"/>
      <c r="E16" s="562"/>
      <c r="F16" s="562"/>
      <c r="G16" s="562"/>
      <c r="H16" s="562"/>
      <c r="I16" s="562"/>
      <c r="J16" s="562"/>
      <c r="K16" s="562"/>
      <c r="L16" s="562"/>
      <c r="M16" s="562"/>
      <c r="N16" s="437"/>
      <c r="O16" s="437"/>
      <c r="P16" s="437"/>
      <c r="Q16" s="437"/>
      <c r="R16" s="437"/>
      <c r="S16" s="437"/>
    </row>
    <row r="17" spans="2:19" x14ac:dyDescent="0.25">
      <c r="B17" s="562"/>
      <c r="C17" s="562"/>
      <c r="D17" s="562"/>
      <c r="E17" s="562"/>
      <c r="F17" s="562"/>
      <c r="G17" s="562"/>
      <c r="H17" s="562"/>
      <c r="I17" s="562"/>
      <c r="J17" s="562"/>
      <c r="K17" s="562"/>
      <c r="L17" s="562"/>
      <c r="M17" s="562"/>
      <c r="N17" s="437"/>
      <c r="O17" s="437"/>
      <c r="P17" s="437"/>
      <c r="Q17" s="437"/>
      <c r="R17" s="437"/>
      <c r="S17" s="437"/>
    </row>
    <row r="18" spans="2:19" x14ac:dyDescent="0.25">
      <c r="B18" s="562"/>
      <c r="C18" s="562"/>
      <c r="D18" s="562"/>
      <c r="E18" s="562"/>
      <c r="F18" s="562"/>
      <c r="G18" s="562"/>
      <c r="H18" s="562"/>
      <c r="I18" s="562"/>
      <c r="J18" s="562"/>
      <c r="K18" s="562"/>
      <c r="L18" s="562"/>
      <c r="M18" s="562"/>
      <c r="N18" s="437"/>
      <c r="O18" s="437"/>
      <c r="P18" s="437"/>
      <c r="Q18" s="437"/>
      <c r="R18" s="437"/>
      <c r="S18" s="437"/>
    </row>
    <row r="19" spans="2:19" x14ac:dyDescent="0.25">
      <c r="B19" s="562"/>
      <c r="C19" s="562"/>
      <c r="D19" s="562"/>
      <c r="E19" s="562"/>
      <c r="F19" s="562"/>
      <c r="G19" s="562"/>
      <c r="H19" s="562"/>
      <c r="I19" s="562"/>
      <c r="J19" s="562"/>
      <c r="K19" s="562"/>
      <c r="L19" s="562"/>
      <c r="M19" s="562"/>
      <c r="N19" s="437"/>
      <c r="O19" s="437"/>
      <c r="P19" s="437"/>
      <c r="Q19" s="437"/>
      <c r="R19" s="437"/>
      <c r="S19" s="437"/>
    </row>
    <row r="20" spans="2:19" x14ac:dyDescent="0.25">
      <c r="B20" s="562"/>
      <c r="C20" s="562"/>
      <c r="D20" s="562"/>
      <c r="E20" s="562"/>
      <c r="F20" s="562"/>
      <c r="G20" s="562"/>
      <c r="H20" s="562"/>
      <c r="I20" s="562"/>
      <c r="J20" s="562"/>
      <c r="K20" s="562"/>
      <c r="L20" s="562"/>
      <c r="M20" s="562"/>
      <c r="N20" s="437"/>
      <c r="O20" s="437"/>
      <c r="P20" s="437"/>
      <c r="Q20" s="437"/>
      <c r="R20" s="437"/>
      <c r="S20" s="437"/>
    </row>
    <row r="21" spans="2:19" x14ac:dyDescent="0.25">
      <c r="B21" s="562"/>
      <c r="C21" s="562"/>
      <c r="D21" s="562"/>
      <c r="E21" s="562"/>
      <c r="F21" s="562"/>
      <c r="G21" s="565"/>
      <c r="H21" s="566"/>
      <c r="I21" s="566"/>
      <c r="J21" s="566"/>
      <c r="K21" s="566"/>
      <c r="L21" s="566"/>
      <c r="M21" s="566"/>
      <c r="N21" s="437"/>
      <c r="O21" s="437"/>
      <c r="P21" s="437"/>
      <c r="Q21" s="437"/>
      <c r="R21" s="437"/>
      <c r="S21" s="437"/>
    </row>
    <row r="22" spans="2:19" x14ac:dyDescent="0.25">
      <c r="B22" s="562"/>
      <c r="C22" s="562"/>
      <c r="D22" s="562"/>
      <c r="E22" s="562"/>
      <c r="F22" s="562"/>
      <c r="G22" s="562"/>
      <c r="H22" s="562"/>
      <c r="I22" s="562"/>
      <c r="J22" s="562"/>
      <c r="K22" s="562"/>
      <c r="L22" s="562"/>
      <c r="M22" s="562"/>
      <c r="N22" s="437"/>
      <c r="O22" s="437"/>
      <c r="P22" s="437"/>
      <c r="Q22" s="437"/>
      <c r="R22" s="437"/>
      <c r="S22" s="437"/>
    </row>
    <row r="23" spans="2:19" x14ac:dyDescent="0.25">
      <c r="B23" s="562"/>
      <c r="C23" s="562"/>
      <c r="D23" s="562"/>
      <c r="E23" s="562"/>
      <c r="F23" s="562"/>
      <c r="G23" s="562"/>
      <c r="H23" s="562"/>
      <c r="I23" s="562"/>
      <c r="J23" s="562"/>
      <c r="K23" s="562"/>
      <c r="L23" s="562"/>
      <c r="M23" s="562"/>
      <c r="N23" s="437"/>
      <c r="O23" s="437"/>
      <c r="P23" s="437"/>
      <c r="Q23" s="437"/>
      <c r="R23" s="437"/>
      <c r="S23" s="437"/>
    </row>
    <row r="24" spans="2:19" ht="15" customHeight="1" x14ac:dyDescent="0.25">
      <c r="B24" s="562"/>
      <c r="C24" s="562"/>
      <c r="D24" s="562"/>
      <c r="E24" s="562"/>
      <c r="F24" s="562"/>
      <c r="G24" s="562"/>
      <c r="H24" s="562"/>
      <c r="I24" s="562"/>
      <c r="J24" s="562"/>
      <c r="K24" s="562"/>
      <c r="L24" s="562"/>
      <c r="M24" s="562"/>
      <c r="N24" s="437"/>
      <c r="O24" s="437"/>
      <c r="P24" s="437"/>
      <c r="Q24" s="437"/>
      <c r="R24" s="437"/>
      <c r="S24" s="437"/>
    </row>
    <row r="25" spans="2:19" ht="15" customHeight="1" x14ac:dyDescent="0.25">
      <c r="B25" s="562"/>
      <c r="C25" s="562"/>
      <c r="D25" s="562"/>
      <c r="E25" s="562"/>
      <c r="F25" s="562"/>
      <c r="G25" s="562"/>
      <c r="H25" s="562"/>
      <c r="I25" s="562"/>
      <c r="J25" s="562"/>
      <c r="K25" s="562"/>
      <c r="L25" s="562"/>
      <c r="M25" s="562"/>
      <c r="N25" s="437"/>
      <c r="O25" s="437"/>
      <c r="P25" s="437"/>
      <c r="Q25" s="437"/>
      <c r="R25" s="437"/>
      <c r="S25" s="437"/>
    </row>
    <row r="26" spans="2:19" x14ac:dyDescent="0.25">
      <c r="B26" s="562"/>
      <c r="C26" s="562"/>
      <c r="D26" s="562"/>
      <c r="E26" s="562"/>
      <c r="F26" s="562"/>
      <c r="G26" s="562"/>
      <c r="H26" s="562"/>
      <c r="I26" s="562"/>
      <c r="J26" s="562"/>
      <c r="K26" s="562"/>
      <c r="L26" s="562"/>
      <c r="M26" s="562"/>
      <c r="N26" s="437"/>
      <c r="O26" s="437"/>
      <c r="P26" s="437"/>
      <c r="Q26" s="437"/>
      <c r="R26" s="437"/>
      <c r="S26" s="437"/>
    </row>
    <row r="27" spans="2:19" x14ac:dyDescent="0.25">
      <c r="B27" s="562"/>
      <c r="C27" s="562"/>
      <c r="D27" s="562"/>
      <c r="E27" s="562"/>
      <c r="F27" s="562"/>
      <c r="G27" s="562"/>
      <c r="H27" s="562"/>
      <c r="I27" s="562"/>
      <c r="J27" s="562"/>
      <c r="K27" s="562"/>
      <c r="L27" s="562"/>
      <c r="M27" s="562"/>
      <c r="N27" s="437"/>
      <c r="O27" s="437"/>
      <c r="P27" s="437"/>
      <c r="Q27" s="437"/>
      <c r="R27" s="437"/>
      <c r="S27" s="437"/>
    </row>
    <row r="28" spans="2:19" x14ac:dyDescent="0.25">
      <c r="B28" s="562"/>
      <c r="C28" s="562"/>
      <c r="D28" s="562"/>
      <c r="E28" s="562"/>
      <c r="F28" s="562"/>
      <c r="G28" s="562"/>
      <c r="H28" s="562"/>
      <c r="I28" s="562"/>
      <c r="J28" s="562"/>
      <c r="K28" s="562"/>
      <c r="L28" s="562"/>
      <c r="M28" s="562"/>
      <c r="N28" s="437"/>
      <c r="O28" s="437"/>
      <c r="P28" s="437"/>
      <c r="Q28" s="437"/>
      <c r="R28" s="437"/>
      <c r="S28" s="437"/>
    </row>
    <row r="29" spans="2:19" x14ac:dyDescent="0.25">
      <c r="B29" s="562"/>
      <c r="C29" s="562"/>
      <c r="D29" s="562"/>
      <c r="E29" s="562"/>
      <c r="F29" s="562"/>
      <c r="G29" s="562"/>
      <c r="H29" s="562"/>
      <c r="I29" s="562"/>
      <c r="J29" s="562"/>
      <c r="K29" s="562"/>
      <c r="L29" s="562"/>
      <c r="M29" s="562"/>
      <c r="N29" s="437"/>
      <c r="O29" s="437"/>
      <c r="P29" s="437"/>
      <c r="Q29" s="437"/>
      <c r="R29" s="437"/>
      <c r="S29" s="437"/>
    </row>
    <row r="30" spans="2:19" x14ac:dyDescent="0.25">
      <c r="B30" s="562"/>
      <c r="C30" s="562"/>
      <c r="D30" s="562"/>
      <c r="E30" s="562"/>
      <c r="F30" s="562"/>
      <c r="G30" s="562"/>
      <c r="H30" s="562"/>
      <c r="I30" s="562"/>
      <c r="J30" s="562"/>
      <c r="K30" s="562"/>
      <c r="L30" s="562"/>
      <c r="M30" s="562"/>
      <c r="N30" s="437"/>
      <c r="O30" s="437"/>
      <c r="P30" s="437"/>
      <c r="Q30" s="437"/>
      <c r="R30" s="437"/>
      <c r="S30" s="437"/>
    </row>
    <row r="31" spans="2:19" ht="15" customHeight="1" x14ac:dyDescent="0.25">
      <c r="B31" s="562"/>
      <c r="C31" s="562"/>
      <c r="D31" s="562"/>
      <c r="E31" s="562"/>
      <c r="F31" s="562"/>
      <c r="G31" s="562"/>
      <c r="H31" s="562"/>
      <c r="I31" s="562"/>
      <c r="J31" s="562"/>
      <c r="K31" s="562"/>
      <c r="L31" s="562"/>
      <c r="M31" s="562"/>
      <c r="N31" s="437"/>
      <c r="O31" s="437"/>
      <c r="P31" s="437"/>
      <c r="Q31" s="437"/>
      <c r="R31" s="437"/>
      <c r="S31" s="437"/>
    </row>
    <row r="32" spans="2:19" ht="15" customHeight="1" x14ac:dyDescent="0.25">
      <c r="B32" s="562"/>
      <c r="C32" s="562"/>
      <c r="D32" s="562"/>
      <c r="E32" s="562"/>
      <c r="F32" s="562"/>
      <c r="G32" s="562"/>
      <c r="H32" s="562"/>
      <c r="I32" s="562"/>
      <c r="J32" s="562"/>
      <c r="K32" s="562"/>
      <c r="L32" s="562"/>
      <c r="M32" s="562"/>
      <c r="N32" s="437"/>
      <c r="O32" s="437"/>
      <c r="P32" s="437"/>
      <c r="Q32" s="437"/>
      <c r="R32" s="437"/>
      <c r="S32" s="437"/>
    </row>
    <row r="33" spans="2:19" x14ac:dyDescent="0.25">
      <c r="B33" s="562"/>
      <c r="C33" s="562"/>
      <c r="D33" s="562"/>
      <c r="E33" s="562"/>
      <c r="F33" s="562"/>
      <c r="G33" s="562"/>
      <c r="H33" s="562"/>
      <c r="I33" s="562"/>
      <c r="J33" s="562"/>
      <c r="K33" s="562"/>
      <c r="L33" s="562"/>
      <c r="M33" s="562"/>
      <c r="N33" s="437"/>
      <c r="O33" s="437"/>
      <c r="P33" s="437"/>
      <c r="Q33" s="437"/>
      <c r="R33" s="437"/>
      <c r="S33" s="437"/>
    </row>
    <row r="34" spans="2:19" x14ac:dyDescent="0.25">
      <c r="B34" s="562"/>
      <c r="C34" s="562"/>
      <c r="D34" s="562"/>
      <c r="E34" s="562"/>
      <c r="F34" s="562"/>
      <c r="G34" s="562"/>
      <c r="H34" s="562"/>
      <c r="I34" s="562"/>
      <c r="J34" s="562"/>
      <c r="K34" s="562"/>
      <c r="L34" s="562"/>
      <c r="M34" s="562"/>
      <c r="N34" s="437"/>
      <c r="O34" s="437"/>
      <c r="P34" s="437"/>
      <c r="Q34" s="437"/>
      <c r="R34" s="437"/>
      <c r="S34" s="437"/>
    </row>
    <row r="35" spans="2:19" x14ac:dyDescent="0.25">
      <c r="B35" s="562"/>
      <c r="C35" s="562"/>
      <c r="D35" s="562"/>
      <c r="E35" s="562"/>
      <c r="F35" s="562"/>
      <c r="G35" s="562"/>
      <c r="H35" s="562"/>
      <c r="I35" s="562"/>
      <c r="J35" s="562"/>
      <c r="K35" s="562"/>
      <c r="L35" s="562"/>
      <c r="M35" s="562"/>
      <c r="N35" s="437"/>
      <c r="O35" s="437"/>
      <c r="P35" s="437"/>
      <c r="Q35" s="437"/>
      <c r="R35" s="437"/>
      <c r="S35" s="437"/>
    </row>
    <row r="36" spans="2:19" x14ac:dyDescent="0.25">
      <c r="B36" s="562"/>
      <c r="C36" s="562"/>
      <c r="D36" s="562"/>
      <c r="E36" s="562"/>
      <c r="F36" s="562"/>
      <c r="G36" s="562"/>
      <c r="H36" s="562"/>
      <c r="I36" s="562"/>
      <c r="J36" s="562"/>
      <c r="K36" s="562"/>
      <c r="L36" s="562"/>
      <c r="M36" s="562"/>
      <c r="N36" s="437"/>
      <c r="O36" s="437"/>
      <c r="P36" s="437"/>
      <c r="Q36" s="437"/>
      <c r="R36" s="437"/>
      <c r="S36" s="437"/>
    </row>
    <row r="37" spans="2:19" x14ac:dyDescent="0.25">
      <c r="B37" s="562"/>
      <c r="C37" s="562"/>
      <c r="D37" s="562"/>
      <c r="E37" s="562"/>
      <c r="F37" s="562"/>
      <c r="G37" s="562"/>
      <c r="H37" s="562"/>
      <c r="I37" s="562"/>
      <c r="J37" s="562"/>
      <c r="K37" s="562"/>
      <c r="L37" s="562"/>
      <c r="M37" s="562"/>
      <c r="N37" s="437"/>
      <c r="O37" s="437"/>
      <c r="P37" s="437"/>
      <c r="Q37" s="437"/>
      <c r="R37" s="437"/>
      <c r="S37" s="437"/>
    </row>
    <row r="38" spans="2:19" x14ac:dyDescent="0.25">
      <c r="B38" s="562"/>
      <c r="C38" s="562"/>
      <c r="D38" s="562"/>
      <c r="E38" s="562"/>
      <c r="F38" s="562"/>
      <c r="G38" s="562"/>
      <c r="H38" s="562"/>
      <c r="I38" s="562"/>
      <c r="J38" s="562"/>
      <c r="K38" s="562"/>
      <c r="L38" s="562"/>
      <c r="M38" s="562"/>
      <c r="N38" s="437"/>
      <c r="O38" s="437"/>
      <c r="P38" s="437"/>
      <c r="Q38" s="437"/>
      <c r="R38" s="437"/>
      <c r="S38" s="437"/>
    </row>
    <row r="39" spans="2:19" x14ac:dyDescent="0.25">
      <c r="B39" s="562"/>
      <c r="C39" s="562"/>
      <c r="D39" s="562"/>
      <c r="E39" s="562"/>
      <c r="F39" s="562"/>
      <c r="G39" s="562"/>
      <c r="H39" s="562"/>
      <c r="I39" s="562"/>
      <c r="J39" s="562"/>
      <c r="K39" s="562"/>
      <c r="L39" s="562"/>
      <c r="M39" s="562"/>
      <c r="N39" s="437"/>
      <c r="O39" s="437"/>
      <c r="P39" s="437"/>
      <c r="Q39" s="437"/>
      <c r="R39" s="437"/>
      <c r="S39" s="437"/>
    </row>
    <row r="40" spans="2:19" x14ac:dyDescent="0.25">
      <c r="B40" s="562"/>
      <c r="C40" s="562"/>
      <c r="D40" s="562"/>
      <c r="E40" s="562"/>
      <c r="F40" s="562"/>
      <c r="G40" s="562"/>
      <c r="H40" s="562"/>
      <c r="I40" s="562"/>
      <c r="J40" s="562"/>
      <c r="K40" s="562"/>
      <c r="L40" s="562"/>
      <c r="M40" s="562"/>
      <c r="N40" s="437"/>
      <c r="O40" s="437"/>
      <c r="P40" s="437"/>
      <c r="Q40" s="437"/>
      <c r="R40" s="437"/>
      <c r="S40" s="437"/>
    </row>
    <row r="41" spans="2:19" x14ac:dyDescent="0.25">
      <c r="B41" s="562"/>
      <c r="C41" s="562"/>
      <c r="D41" s="562"/>
      <c r="E41" s="562"/>
      <c r="F41" s="562"/>
      <c r="G41" s="562"/>
      <c r="H41" s="562"/>
      <c r="I41" s="562"/>
      <c r="J41" s="562"/>
      <c r="K41" s="562"/>
      <c r="L41" s="562"/>
      <c r="M41" s="562"/>
      <c r="N41" s="437"/>
      <c r="O41" s="437"/>
      <c r="P41" s="437"/>
      <c r="Q41" s="437"/>
      <c r="R41" s="437"/>
      <c r="S41" s="437"/>
    </row>
    <row r="42" spans="2:19" x14ac:dyDescent="0.25">
      <c r="B42" s="562"/>
      <c r="C42" s="562"/>
      <c r="D42" s="562"/>
      <c r="E42" s="562"/>
      <c r="F42" s="562"/>
      <c r="G42" s="562"/>
      <c r="H42" s="562"/>
      <c r="I42" s="562"/>
      <c r="J42" s="562"/>
      <c r="K42" s="562"/>
      <c r="L42" s="562"/>
      <c r="M42" s="562"/>
      <c r="N42" s="437"/>
      <c r="O42" s="437"/>
      <c r="P42" s="437"/>
      <c r="Q42" s="437"/>
      <c r="R42" s="437"/>
      <c r="S42" s="437"/>
    </row>
    <row r="43" spans="2:19" x14ac:dyDescent="0.25">
      <c r="B43" s="562"/>
      <c r="C43" s="562"/>
      <c r="D43" s="562"/>
      <c r="E43" s="562"/>
      <c r="F43" s="562"/>
      <c r="G43" s="562"/>
      <c r="H43" s="562"/>
      <c r="I43" s="562"/>
      <c r="J43" s="562"/>
      <c r="K43" s="562"/>
      <c r="L43" s="562"/>
      <c r="M43" s="562"/>
      <c r="N43" s="437"/>
      <c r="O43" s="437"/>
      <c r="P43" s="437"/>
      <c r="Q43" s="437"/>
      <c r="R43" s="437"/>
      <c r="S43" s="437"/>
    </row>
    <row r="44" spans="2:19" x14ac:dyDescent="0.25">
      <c r="B44" s="562"/>
      <c r="C44" s="562"/>
      <c r="D44" s="562"/>
      <c r="E44" s="562"/>
      <c r="F44" s="562"/>
      <c r="G44" s="562"/>
      <c r="H44" s="562"/>
      <c r="I44" s="562"/>
      <c r="J44" s="562"/>
      <c r="K44" s="41" t="s">
        <v>39</v>
      </c>
      <c r="L44" s="567">
        <f>E69</f>
        <v>0.43</v>
      </c>
      <c r="M44" s="562"/>
      <c r="N44" s="437"/>
      <c r="P44" s="41" t="s">
        <v>39</v>
      </c>
      <c r="Q44" s="568">
        <f>E58</f>
        <v>5500000</v>
      </c>
      <c r="R44" s="437"/>
      <c r="S44" s="437"/>
    </row>
    <row r="45" spans="2:19" x14ac:dyDescent="0.25">
      <c r="B45" s="562"/>
      <c r="C45" s="562"/>
      <c r="D45" s="562"/>
      <c r="E45" s="562"/>
      <c r="F45" s="562"/>
      <c r="G45" s="562"/>
      <c r="H45" s="562"/>
      <c r="I45" s="562"/>
      <c r="J45" s="562"/>
      <c r="K45" s="562"/>
      <c r="L45" s="562"/>
      <c r="M45" s="562"/>
      <c r="N45" s="437"/>
      <c r="O45" s="437"/>
      <c r="P45" s="437"/>
      <c r="Q45" s="437"/>
      <c r="R45" s="437"/>
      <c r="S45" s="437"/>
    </row>
    <row r="46" spans="2:19" x14ac:dyDescent="0.25">
      <c r="B46" s="421" t="s">
        <v>49</v>
      </c>
      <c r="C46" s="422"/>
      <c r="D46" s="423" t="s">
        <v>50</v>
      </c>
      <c r="E46" s="424"/>
      <c r="F46" s="49" t="s">
        <v>51</v>
      </c>
      <c r="G46" s="51"/>
      <c r="H46" s="52"/>
      <c r="I46" s="562"/>
      <c r="J46" s="562"/>
      <c r="K46" s="842" t="s">
        <v>125</v>
      </c>
      <c r="L46" s="843"/>
      <c r="M46" s="938" t="s">
        <v>50</v>
      </c>
      <c r="N46" s="939"/>
      <c r="O46" s="939"/>
      <c r="P46" s="569" t="s">
        <v>127</v>
      </c>
      <c r="Q46" s="570"/>
      <c r="R46" s="571"/>
    </row>
    <row r="47" spans="2:19" x14ac:dyDescent="0.25">
      <c r="B47" s="425" t="s">
        <v>56</v>
      </c>
      <c r="C47" s="572" t="s">
        <v>57</v>
      </c>
      <c r="D47" s="573" t="s">
        <v>58</v>
      </c>
      <c r="E47" s="574" t="s">
        <v>59</v>
      </c>
      <c r="F47" s="426" t="s">
        <v>60</v>
      </c>
      <c r="G47" s="426" t="s">
        <v>61</v>
      </c>
      <c r="H47" s="574" t="s">
        <v>62</v>
      </c>
      <c r="I47" s="562"/>
      <c r="J47" s="562"/>
      <c r="K47" s="844"/>
      <c r="L47" s="845"/>
      <c r="M47" s="940" t="s">
        <v>402</v>
      </c>
      <c r="N47" s="941"/>
      <c r="O47" s="511" t="s">
        <v>59</v>
      </c>
      <c r="P47" s="512" t="s">
        <v>60</v>
      </c>
      <c r="Q47" s="512" t="s">
        <v>61</v>
      </c>
      <c r="R47" s="513" t="s">
        <v>62</v>
      </c>
    </row>
    <row r="48" spans="2:19" ht="14.45" customHeight="1" x14ac:dyDescent="0.25">
      <c r="B48" s="942" t="s">
        <v>403</v>
      </c>
      <c r="C48" s="576" t="s">
        <v>404</v>
      </c>
      <c r="D48" s="427">
        <f>ROUND([3]Sustainability!D6,-2)</f>
        <v>6400</v>
      </c>
      <c r="E48" s="577" t="s">
        <v>72</v>
      </c>
      <c r="F48" s="427">
        <f>[3]Sustainability!V6</f>
        <v>4200</v>
      </c>
      <c r="G48" s="428">
        <f>[3]Sustainability!W6</f>
        <v>7500</v>
      </c>
      <c r="H48" s="438">
        <f>[3]Sustainability!X6</f>
        <v>14360</v>
      </c>
      <c r="I48" s="562"/>
      <c r="J48" s="562"/>
      <c r="K48" s="519" t="s">
        <v>43</v>
      </c>
      <c r="L48" s="520"/>
      <c r="M48" s="943"/>
      <c r="N48" s="943"/>
      <c r="O48" s="578"/>
      <c r="P48" s="72"/>
      <c r="Q48" s="72"/>
      <c r="R48" s="73"/>
    </row>
    <row r="49" spans="1:18" x14ac:dyDescent="0.25">
      <c r="B49" s="822"/>
      <c r="C49" s="429" t="s">
        <v>405</v>
      </c>
      <c r="D49" s="430">
        <v>0</v>
      </c>
      <c r="E49" s="579" t="s">
        <v>72</v>
      </c>
      <c r="F49" s="580" t="s">
        <v>72</v>
      </c>
      <c r="G49" s="431" t="s">
        <v>72</v>
      </c>
      <c r="H49" s="432" t="s">
        <v>72</v>
      </c>
      <c r="I49" s="562"/>
      <c r="J49" s="562"/>
      <c r="K49" s="442"/>
      <c r="L49" s="429" t="s">
        <v>110</v>
      </c>
      <c r="M49" s="944">
        <f>ROUND(D51/0.6,-2)</f>
        <v>10700</v>
      </c>
      <c r="N49" s="945"/>
      <c r="O49" s="448">
        <v>500000</v>
      </c>
      <c r="P49" s="448">
        <f>ROUND(F51/0.6,-2)</f>
        <v>7000</v>
      </c>
      <c r="Q49" s="448">
        <f>ROUND(G51/0.6,-2)</f>
        <v>12500</v>
      </c>
      <c r="R49" s="188">
        <f>ROUND(H51/0.6,-2)</f>
        <v>23900</v>
      </c>
    </row>
    <row r="50" spans="1:18" x14ac:dyDescent="0.25">
      <c r="B50" s="822"/>
      <c r="C50" s="429" t="s">
        <v>406</v>
      </c>
      <c r="D50" s="430">
        <v>0</v>
      </c>
      <c r="E50" s="579" t="s">
        <v>72</v>
      </c>
      <c r="F50" s="583" t="s">
        <v>72</v>
      </c>
      <c r="G50" s="584" t="s">
        <v>72</v>
      </c>
      <c r="H50" s="585" t="s">
        <v>72</v>
      </c>
      <c r="I50" s="562"/>
      <c r="J50" s="562"/>
      <c r="K50" s="442"/>
      <c r="L50" s="429" t="s">
        <v>41</v>
      </c>
      <c r="M50" s="946">
        <f>ROUND(M54/0.6,-2)</f>
        <v>24000</v>
      </c>
      <c r="N50" s="947"/>
      <c r="O50" s="586" t="s">
        <v>85</v>
      </c>
      <c r="P50" s="587" t="s">
        <v>85</v>
      </c>
      <c r="Q50" s="588">
        <f>ROUND(P54/0.6,-2)</f>
        <v>25800</v>
      </c>
      <c r="R50" s="589">
        <f>ROUND(Q54/0.6,-2)</f>
        <v>41300</v>
      </c>
    </row>
    <row r="51" spans="1:18" x14ac:dyDescent="0.25">
      <c r="B51" s="524" t="s">
        <v>47</v>
      </c>
      <c r="C51" s="525"/>
      <c r="D51" s="590">
        <f>SUM(D48:D50)</f>
        <v>6400</v>
      </c>
      <c r="E51" s="591">
        <v>500000</v>
      </c>
      <c r="F51" s="592">
        <f>SUM(F48:F50)</f>
        <v>4200</v>
      </c>
      <c r="G51" s="592">
        <f>SUM(G48:G50)</f>
        <v>7500</v>
      </c>
      <c r="H51" s="593">
        <f>SUM(H48:H50)</f>
        <v>14360</v>
      </c>
      <c r="I51" s="562"/>
      <c r="J51" s="562"/>
      <c r="K51" s="442"/>
      <c r="L51" s="429" t="s">
        <v>136</v>
      </c>
      <c r="M51" s="947"/>
      <c r="N51" s="947"/>
      <c r="O51" s="594"/>
      <c r="P51" s="595"/>
      <c r="Q51" s="595"/>
      <c r="R51" s="596"/>
    </row>
    <row r="52" spans="1:18" x14ac:dyDescent="0.25">
      <c r="I52" s="562"/>
      <c r="J52" s="562"/>
      <c r="K52" s="597" t="s">
        <v>407</v>
      </c>
      <c r="L52" s="510"/>
      <c r="M52" s="943"/>
      <c r="N52" s="943"/>
      <c r="O52" s="598"/>
      <c r="P52" s="72"/>
      <c r="Q52" s="72"/>
      <c r="R52" s="73"/>
    </row>
    <row r="53" spans="1:18" ht="14.45" customHeight="1" x14ac:dyDescent="0.25">
      <c r="B53" s="526" t="s">
        <v>52</v>
      </c>
      <c r="C53" s="54"/>
      <c r="D53" s="530" t="s">
        <v>53</v>
      </c>
      <c r="E53" s="57"/>
      <c r="F53" s="57"/>
      <c r="G53" s="813" t="s">
        <v>54</v>
      </c>
      <c r="H53" s="814"/>
      <c r="I53" s="528" t="s">
        <v>55</v>
      </c>
      <c r="J53" s="562"/>
      <c r="K53" s="442"/>
      <c r="L53" s="429" t="s">
        <v>110</v>
      </c>
      <c r="M53" s="947"/>
      <c r="N53" s="947"/>
      <c r="O53" s="594"/>
      <c r="P53" s="508"/>
      <c r="Q53" s="508"/>
      <c r="R53" s="509"/>
    </row>
    <row r="54" spans="1:18" x14ac:dyDescent="0.25">
      <c r="B54" s="599" t="s">
        <v>63</v>
      </c>
      <c r="C54" s="600"/>
      <c r="D54" s="601" t="s">
        <v>65</v>
      </c>
      <c r="E54" s="601" t="s">
        <v>48</v>
      </c>
      <c r="F54" s="601" t="s">
        <v>408</v>
      </c>
      <c r="G54" s="601" t="s">
        <v>67</v>
      </c>
      <c r="H54" s="601" t="s">
        <v>68</v>
      </c>
      <c r="I54" s="602" t="s">
        <v>69</v>
      </c>
      <c r="J54" s="562"/>
      <c r="K54" s="442"/>
      <c r="L54" s="429" t="s">
        <v>41</v>
      </c>
      <c r="M54" s="944">
        <f>ROUND([3]Runs!Y48,-2)</f>
        <v>14400</v>
      </c>
      <c r="N54" s="947"/>
      <c r="O54" s="586" t="s">
        <v>85</v>
      </c>
      <c r="P54" s="448">
        <f>[3]Sustainability!W10</f>
        <v>15484</v>
      </c>
      <c r="Q54" s="448">
        <f>[3]Sustainability!X10</f>
        <v>24750</v>
      </c>
      <c r="R54" s="509"/>
    </row>
    <row r="55" spans="1:18" x14ac:dyDescent="0.25">
      <c r="B55" s="603" t="s">
        <v>409</v>
      </c>
      <c r="C55" s="604"/>
      <c r="D55" s="605" t="s">
        <v>72</v>
      </c>
      <c r="E55" s="606">
        <v>3000000</v>
      </c>
      <c r="F55" s="607"/>
      <c r="G55" s="578" t="s">
        <v>72</v>
      </c>
      <c r="H55" s="578" t="s">
        <v>72</v>
      </c>
      <c r="I55" s="608" t="s">
        <v>72</v>
      </c>
      <c r="J55" s="562"/>
      <c r="K55" s="443"/>
      <c r="L55" s="112" t="s">
        <v>136</v>
      </c>
      <c r="M55" s="941"/>
      <c r="N55" s="941"/>
      <c r="O55" s="609"/>
      <c r="P55" s="195"/>
      <c r="Q55" s="195"/>
      <c r="R55" s="196"/>
    </row>
    <row r="56" spans="1:18" x14ac:dyDescent="0.25">
      <c r="B56" s="610" t="s">
        <v>280</v>
      </c>
      <c r="C56" s="611"/>
      <c r="D56" s="612" t="s">
        <v>72</v>
      </c>
      <c r="E56" s="613">
        <v>1500000</v>
      </c>
      <c r="F56" s="614"/>
      <c r="G56" s="615" t="s">
        <v>72</v>
      </c>
      <c r="H56" s="615" t="s">
        <v>72</v>
      </c>
      <c r="I56" s="616" t="s">
        <v>72</v>
      </c>
      <c r="J56" s="562"/>
      <c r="K56" s="597" t="s">
        <v>45</v>
      </c>
      <c r="L56" s="510"/>
      <c r="M56" s="943"/>
      <c r="N56" s="943"/>
      <c r="O56" s="578"/>
      <c r="P56" s="72"/>
      <c r="Q56" s="72"/>
      <c r="R56" s="73"/>
    </row>
    <row r="57" spans="1:18" x14ac:dyDescent="0.25">
      <c r="B57" s="617" t="s">
        <v>410</v>
      </c>
      <c r="C57" s="618"/>
      <c r="D57" s="619" t="s">
        <v>72</v>
      </c>
      <c r="E57" s="620">
        <v>1000000</v>
      </c>
      <c r="F57" s="621"/>
      <c r="G57" s="622" t="s">
        <v>72</v>
      </c>
      <c r="H57" s="622" t="s">
        <v>72</v>
      </c>
      <c r="I57" s="623" t="s">
        <v>72</v>
      </c>
      <c r="J57" s="562"/>
      <c r="K57" s="445"/>
      <c r="L57" s="429" t="s">
        <v>110</v>
      </c>
      <c r="M57" s="947"/>
      <c r="N57" s="947"/>
      <c r="O57" s="594"/>
      <c r="P57" s="508"/>
      <c r="Q57" s="508"/>
      <c r="R57" s="509"/>
    </row>
    <row r="58" spans="1:18" x14ac:dyDescent="0.25">
      <c r="B58" s="624" t="s">
        <v>95</v>
      </c>
      <c r="C58" s="625"/>
      <c r="D58" s="625"/>
      <c r="E58" s="626">
        <f>SUM(E55:E57)</f>
        <v>5500000</v>
      </c>
      <c r="F58" s="625"/>
      <c r="G58" s="625"/>
      <c r="H58" s="625"/>
      <c r="I58" s="627"/>
      <c r="J58" s="562"/>
      <c r="K58" s="445"/>
      <c r="L58" s="429" t="s">
        <v>41</v>
      </c>
      <c r="M58" s="947"/>
      <c r="N58" s="947"/>
      <c r="O58" s="594"/>
      <c r="P58" s="508"/>
      <c r="Q58" s="508"/>
      <c r="R58" s="509"/>
    </row>
    <row r="59" spans="1:18" x14ac:dyDescent="0.25">
      <c r="A59" s="564"/>
      <c r="B59" s="628"/>
      <c r="C59" s="628"/>
      <c r="D59" s="628"/>
      <c r="E59" s="628"/>
      <c r="F59" s="628"/>
      <c r="G59" s="628"/>
      <c r="H59" s="628"/>
      <c r="I59" s="628"/>
      <c r="J59" s="562"/>
      <c r="K59" s="443"/>
      <c r="L59" s="112" t="s">
        <v>136</v>
      </c>
      <c r="M59" s="941"/>
      <c r="N59" s="941"/>
      <c r="O59" s="609"/>
      <c r="P59" s="195"/>
      <c r="Q59" s="195"/>
      <c r="R59" s="196"/>
    </row>
    <row r="60" spans="1:18" x14ac:dyDescent="0.25">
      <c r="A60" s="564"/>
      <c r="B60" s="434" t="s">
        <v>101</v>
      </c>
      <c r="C60" s="435"/>
      <c r="D60" s="136" t="s">
        <v>102</v>
      </c>
      <c r="E60" s="629"/>
      <c r="F60" s="137"/>
      <c r="G60" s="137"/>
      <c r="H60" s="136" t="s">
        <v>5</v>
      </c>
      <c r="I60" s="531"/>
      <c r="J60" s="562"/>
      <c r="K60" s="597" t="s">
        <v>227</v>
      </c>
      <c r="L60" s="446"/>
      <c r="M60" s="943"/>
      <c r="N60" s="943"/>
      <c r="O60" s="598"/>
      <c r="P60" s="72"/>
      <c r="Q60" s="72"/>
      <c r="R60" s="73"/>
    </row>
    <row r="61" spans="1:18" x14ac:dyDescent="0.25">
      <c r="A61" s="564"/>
      <c r="B61" s="436"/>
      <c r="C61" s="532" t="s">
        <v>105</v>
      </c>
      <c r="D61" s="630"/>
      <c r="E61" s="514" t="s">
        <v>306</v>
      </c>
      <c r="F61" s="514" t="s">
        <v>68</v>
      </c>
      <c r="G61" s="514" t="s">
        <v>55</v>
      </c>
      <c r="H61" s="514" t="s">
        <v>306</v>
      </c>
      <c r="I61" s="533" t="s">
        <v>55</v>
      </c>
      <c r="J61" s="562"/>
      <c r="K61" s="445"/>
      <c r="L61" s="429" t="s">
        <v>110</v>
      </c>
      <c r="M61" s="947"/>
      <c r="N61" s="947"/>
      <c r="O61" s="594"/>
      <c r="P61" s="508"/>
      <c r="Q61" s="508"/>
      <c r="R61" s="509"/>
    </row>
    <row r="62" spans="1:18" ht="14.45" customHeight="1" x14ac:dyDescent="0.25">
      <c r="A62" s="564"/>
      <c r="B62" s="948" t="s">
        <v>411</v>
      </c>
      <c r="C62" s="631" t="s">
        <v>412</v>
      </c>
      <c r="D62" s="632" t="s">
        <v>413</v>
      </c>
      <c r="E62" s="633">
        <v>0.1</v>
      </c>
      <c r="F62" s="598" t="s">
        <v>85</v>
      </c>
      <c r="G62" s="598" t="s">
        <v>85</v>
      </c>
      <c r="H62" s="578" t="s">
        <v>72</v>
      </c>
      <c r="I62" s="634" t="s">
        <v>115</v>
      </c>
      <c r="J62" s="562"/>
      <c r="K62" s="445"/>
      <c r="L62" s="429" t="s">
        <v>41</v>
      </c>
      <c r="M62" s="947"/>
      <c r="N62" s="947"/>
      <c r="O62" s="594"/>
      <c r="P62" s="508"/>
      <c r="Q62" s="508"/>
      <c r="R62" s="509"/>
    </row>
    <row r="63" spans="1:18" x14ac:dyDescent="0.25">
      <c r="A63" s="564"/>
      <c r="B63" s="822"/>
      <c r="C63" s="635" t="s">
        <v>414</v>
      </c>
      <c r="D63" s="636" t="s">
        <v>413</v>
      </c>
      <c r="E63" s="637">
        <v>0.1</v>
      </c>
      <c r="F63" s="594" t="s">
        <v>85</v>
      </c>
      <c r="G63" s="594" t="s">
        <v>85</v>
      </c>
      <c r="H63" s="615" t="s">
        <v>72</v>
      </c>
      <c r="I63" s="638" t="s">
        <v>115</v>
      </c>
      <c r="J63" s="562"/>
      <c r="K63" s="443"/>
      <c r="L63" s="112" t="s">
        <v>136</v>
      </c>
      <c r="M63" s="941"/>
      <c r="N63" s="941"/>
      <c r="O63" s="609"/>
      <c r="P63" s="195"/>
      <c r="Q63" s="195"/>
      <c r="R63" s="196"/>
    </row>
    <row r="64" spans="1:18" x14ac:dyDescent="0.25">
      <c r="A64" s="564"/>
      <c r="B64" s="822"/>
      <c r="C64" s="445" t="s">
        <v>415</v>
      </c>
      <c r="D64" s="534" t="s">
        <v>416</v>
      </c>
      <c r="E64" s="950">
        <v>0.31</v>
      </c>
      <c r="F64" s="952" t="s">
        <v>417</v>
      </c>
      <c r="G64" s="952" t="s">
        <v>417</v>
      </c>
      <c r="H64" s="615" t="s">
        <v>72</v>
      </c>
      <c r="I64" s="638" t="s">
        <v>115</v>
      </c>
      <c r="J64" s="562"/>
      <c r="K64" s="562"/>
      <c r="L64" s="562"/>
      <c r="M64" s="562"/>
      <c r="N64" s="437"/>
      <c r="O64" s="437"/>
      <c r="P64" s="437"/>
      <c r="Q64" s="437"/>
      <c r="R64" s="437"/>
    </row>
    <row r="65" spans="1:18" x14ac:dyDescent="0.25">
      <c r="A65" s="564"/>
      <c r="B65" s="822"/>
      <c r="C65" s="522" t="s">
        <v>418</v>
      </c>
      <c r="D65" s="534" t="s">
        <v>416</v>
      </c>
      <c r="E65" s="951"/>
      <c r="F65" s="952"/>
      <c r="G65" s="952"/>
      <c r="H65" s="615" t="s">
        <v>72</v>
      </c>
      <c r="I65" s="638" t="s">
        <v>115</v>
      </c>
      <c r="J65" s="562"/>
      <c r="K65" s="562"/>
      <c r="L65" s="562"/>
      <c r="M65" s="562"/>
      <c r="N65" s="437"/>
      <c r="O65" s="437"/>
      <c r="P65" s="437"/>
      <c r="Q65" s="437"/>
      <c r="R65" s="437"/>
    </row>
    <row r="66" spans="1:18" x14ac:dyDescent="0.25">
      <c r="A66" s="564"/>
      <c r="B66" s="822"/>
      <c r="C66" s="639" t="s">
        <v>419</v>
      </c>
      <c r="D66" s="534" t="s">
        <v>416</v>
      </c>
      <c r="E66" s="951"/>
      <c r="F66" s="952"/>
      <c r="G66" s="952"/>
      <c r="H66" s="615" t="s">
        <v>72</v>
      </c>
      <c r="I66" s="638" t="s">
        <v>115</v>
      </c>
      <c r="J66" s="562"/>
      <c r="K66" s="562"/>
      <c r="L66" s="562"/>
      <c r="M66" s="562"/>
      <c r="N66" s="437"/>
      <c r="O66" s="437"/>
      <c r="P66" s="437"/>
      <c r="Q66" s="437"/>
      <c r="R66" s="437"/>
    </row>
    <row r="67" spans="1:18" x14ac:dyDescent="0.25">
      <c r="A67" s="564"/>
      <c r="B67" s="822"/>
      <c r="C67" s="639" t="s">
        <v>119</v>
      </c>
      <c r="D67" s="534" t="s">
        <v>416</v>
      </c>
      <c r="E67" s="640" t="s">
        <v>72</v>
      </c>
      <c r="F67" s="641" t="s">
        <v>72</v>
      </c>
      <c r="G67" s="641" t="s">
        <v>72</v>
      </c>
      <c r="H67" s="615" t="s">
        <v>72</v>
      </c>
      <c r="I67" s="638" t="s">
        <v>115</v>
      </c>
      <c r="J67" s="562"/>
      <c r="K67" s="562"/>
      <c r="L67" s="562"/>
      <c r="M67" s="562"/>
      <c r="N67" s="437"/>
      <c r="O67" s="437"/>
      <c r="P67" s="437"/>
      <c r="Q67" s="437"/>
      <c r="R67" s="437"/>
    </row>
    <row r="68" spans="1:18" ht="14.45" customHeight="1" x14ac:dyDescent="0.25">
      <c r="A68" s="564"/>
      <c r="B68" s="822"/>
      <c r="C68" s="642" t="s">
        <v>420</v>
      </c>
      <c r="D68" s="643" t="s">
        <v>416</v>
      </c>
      <c r="E68" s="644" t="s">
        <v>85</v>
      </c>
      <c r="F68" s="609" t="s">
        <v>85</v>
      </c>
      <c r="G68" s="110" t="s">
        <v>72</v>
      </c>
      <c r="H68" s="622" t="s">
        <v>72</v>
      </c>
      <c r="I68" s="645" t="s">
        <v>115</v>
      </c>
      <c r="J68" s="562"/>
      <c r="K68" s="562"/>
      <c r="L68" s="562"/>
      <c r="M68" s="562"/>
      <c r="N68" s="437"/>
      <c r="O68" s="437"/>
      <c r="P68" s="437"/>
      <c r="Q68" s="437"/>
      <c r="R68" s="437"/>
    </row>
    <row r="69" spans="1:18" x14ac:dyDescent="0.25">
      <c r="A69" s="564"/>
      <c r="B69" s="949"/>
      <c r="C69" s="646" t="s">
        <v>39</v>
      </c>
      <c r="D69" s="647" t="s">
        <v>413</v>
      </c>
      <c r="E69" s="648">
        <v>0.43</v>
      </c>
      <c r="F69" s="649" t="str">
        <f>F64</f>
        <v>21.5-45%</v>
      </c>
      <c r="G69" s="650" t="str">
        <f>G64</f>
        <v>21.5-45%</v>
      </c>
      <c r="H69" s="651" t="s">
        <v>72</v>
      </c>
      <c r="I69" s="652" t="s">
        <v>115</v>
      </c>
      <c r="J69" s="562"/>
      <c r="K69" s="562"/>
      <c r="L69" s="562"/>
      <c r="M69" s="562"/>
      <c r="N69" s="437"/>
      <c r="O69" s="437"/>
      <c r="P69" s="437"/>
      <c r="Q69" s="437"/>
      <c r="R69" s="437"/>
    </row>
    <row r="70" spans="1:18" s="564" customFormat="1" x14ac:dyDescent="0.25">
      <c r="B70" s="628"/>
      <c r="C70" s="628"/>
      <c r="D70" s="628"/>
      <c r="E70" s="628"/>
      <c r="F70" s="628"/>
      <c r="G70" s="628"/>
      <c r="H70" s="628"/>
      <c r="I70" s="628"/>
    </row>
    <row r="71" spans="1:18" s="564" customFormat="1" x14ac:dyDescent="0.25">
      <c r="B71" s="628"/>
      <c r="C71" s="628"/>
      <c r="D71" s="628"/>
      <c r="E71" s="628"/>
      <c r="F71" s="628"/>
      <c r="G71" s="628"/>
      <c r="H71" s="628"/>
      <c r="I71" s="628"/>
    </row>
    <row r="72" spans="1:18" s="564" customFormat="1" x14ac:dyDescent="0.25">
      <c r="B72" s="628"/>
      <c r="C72" s="628"/>
      <c r="D72" s="628"/>
      <c r="E72" s="628"/>
      <c r="F72" s="628"/>
      <c r="G72" s="628"/>
      <c r="H72" s="628"/>
      <c r="I72" s="628"/>
    </row>
    <row r="73" spans="1:18" s="564" customFormat="1" x14ac:dyDescent="0.25">
      <c r="B73" s="628"/>
      <c r="C73" s="628"/>
      <c r="D73" s="628"/>
      <c r="E73" s="628"/>
      <c r="F73" s="628"/>
      <c r="G73" s="628"/>
      <c r="H73" s="628"/>
      <c r="I73" s="628"/>
    </row>
    <row r="74" spans="1:18" x14ac:dyDescent="0.25">
      <c r="A74" s="564"/>
      <c r="B74" s="628"/>
      <c r="C74" s="628"/>
      <c r="D74" s="628"/>
      <c r="E74" s="628"/>
      <c r="F74" s="628"/>
      <c r="G74" s="628"/>
      <c r="H74" s="628"/>
      <c r="I74" s="628"/>
      <c r="J74" s="628"/>
    </row>
  </sheetData>
  <mergeCells count="25">
    <mergeCell ref="B62:B69"/>
    <mergeCell ref="M62:N62"/>
    <mergeCell ref="M63:N63"/>
    <mergeCell ref="E64:E66"/>
    <mergeCell ref="F64:F66"/>
    <mergeCell ref="G64:G66"/>
    <mergeCell ref="M61:N61"/>
    <mergeCell ref="M51:N51"/>
    <mergeCell ref="M52:N52"/>
    <mergeCell ref="G53:H53"/>
    <mergeCell ref="M53:N53"/>
    <mergeCell ref="M54:N54"/>
    <mergeCell ref="M55:N55"/>
    <mergeCell ref="M56:N56"/>
    <mergeCell ref="M57:N57"/>
    <mergeCell ref="M58:N58"/>
    <mergeCell ref="M59:N59"/>
    <mergeCell ref="M60:N60"/>
    <mergeCell ref="K46:L47"/>
    <mergeCell ref="M46:O46"/>
    <mergeCell ref="M47:N47"/>
    <mergeCell ref="B48:B50"/>
    <mergeCell ref="M48:N48"/>
    <mergeCell ref="M49:N49"/>
    <mergeCell ref="M50:N50"/>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62A40-2958-4830-AB18-781CC7673161}">
  <dimension ref="B1:AV85"/>
  <sheetViews>
    <sheetView workbookViewId="0">
      <selection activeCell="L9" sqref="L9"/>
    </sheetView>
  </sheetViews>
  <sheetFormatPr defaultColWidth="9.140625" defaultRowHeight="15" x14ac:dyDescent="0.25"/>
  <cols>
    <col min="1" max="1" width="3.85546875" style="564" customWidth="1"/>
    <col min="2" max="8" width="9.140625" style="564"/>
    <col min="9" max="13" width="9.140625" style="729"/>
    <col min="14" max="20" width="9.140625" style="564"/>
    <col min="21" max="21" width="11.140625" style="564" customWidth="1"/>
    <col min="22" max="23" width="9.140625" style="564"/>
    <col min="24" max="24" width="10.85546875" style="703" customWidth="1"/>
    <col min="25" max="16384" width="9.140625" style="564"/>
  </cols>
  <sheetData>
    <row r="1" spans="2:42" s="447" customFormat="1" ht="15.75" x14ac:dyDescent="0.25">
      <c r="B1" s="653" t="s">
        <v>421</v>
      </c>
      <c r="C1" s="654"/>
      <c r="D1" s="654"/>
      <c r="E1" s="654"/>
      <c r="F1" s="654"/>
      <c r="G1" s="654"/>
      <c r="H1" s="654"/>
      <c r="I1" s="655"/>
      <c r="J1" s="655"/>
      <c r="K1" s="655"/>
      <c r="L1" s="655"/>
      <c r="M1" s="655"/>
      <c r="N1" s="656"/>
      <c r="O1" s="657"/>
      <c r="P1" s="657"/>
      <c r="Q1" s="657"/>
      <c r="R1" s="654"/>
      <c r="S1" s="654"/>
      <c r="T1" s="654"/>
      <c r="U1" s="658" t="s">
        <v>422</v>
      </c>
      <c r="W1" s="447" t="s">
        <v>423</v>
      </c>
      <c r="X1" s="659"/>
    </row>
    <row r="2" spans="2:42" s="447" customFormat="1" ht="39.75" customHeight="1" x14ac:dyDescent="0.25">
      <c r="B2" s="660"/>
      <c r="C2" s="661" t="s">
        <v>424</v>
      </c>
      <c r="D2" s="662" t="s">
        <v>425</v>
      </c>
      <c r="E2" s="661" t="s">
        <v>426</v>
      </c>
      <c r="F2" s="661" t="s">
        <v>362</v>
      </c>
      <c r="G2" s="661" t="s">
        <v>427</v>
      </c>
      <c r="H2" s="661" t="s">
        <v>428</v>
      </c>
      <c r="I2" s="663" t="s">
        <v>429</v>
      </c>
      <c r="J2" s="663" t="s">
        <v>362</v>
      </c>
      <c r="K2" s="663" t="s">
        <v>187</v>
      </c>
      <c r="L2" s="663" t="s">
        <v>430</v>
      </c>
      <c r="M2" s="663" t="s">
        <v>431</v>
      </c>
      <c r="N2" s="664" t="s">
        <v>432</v>
      </c>
      <c r="O2" s="665" t="s">
        <v>433</v>
      </c>
      <c r="P2" s="666"/>
      <c r="Q2" s="666"/>
      <c r="R2" s="661"/>
      <c r="S2" s="661" t="s">
        <v>434</v>
      </c>
      <c r="T2" s="667" t="s">
        <v>435</v>
      </c>
      <c r="U2" s="654" t="s">
        <v>436</v>
      </c>
      <c r="V2" s="668" t="s">
        <v>437</v>
      </c>
      <c r="X2" s="659"/>
    </row>
    <row r="3" spans="2:42" s="447" customFormat="1" ht="15" customHeight="1" x14ac:dyDescent="0.25">
      <c r="B3" s="669" t="s">
        <v>160</v>
      </c>
      <c r="C3" s="661" t="s">
        <v>438</v>
      </c>
      <c r="D3" s="661" t="s">
        <v>439</v>
      </c>
      <c r="E3" s="661" t="s">
        <v>440</v>
      </c>
      <c r="F3" s="661" t="s">
        <v>370</v>
      </c>
      <c r="G3" s="662" t="s">
        <v>441</v>
      </c>
      <c r="H3" s="661" t="s">
        <v>442</v>
      </c>
      <c r="I3" s="663" t="s">
        <v>443</v>
      </c>
      <c r="J3" s="663" t="s">
        <v>443</v>
      </c>
      <c r="K3" s="663" t="s">
        <v>443</v>
      </c>
      <c r="L3" s="663" t="s">
        <v>443</v>
      </c>
      <c r="M3" s="663" t="s">
        <v>444</v>
      </c>
      <c r="N3" s="664" t="s">
        <v>445</v>
      </c>
      <c r="O3" s="670" t="s">
        <v>446</v>
      </c>
      <c r="P3" s="666"/>
      <c r="Q3" s="666"/>
      <c r="R3" s="661"/>
      <c r="S3" s="661" t="s">
        <v>447</v>
      </c>
      <c r="T3" s="667" t="s">
        <v>447</v>
      </c>
      <c r="U3" s="654" t="s">
        <v>187</v>
      </c>
      <c r="V3" s="447" t="s">
        <v>448</v>
      </c>
      <c r="W3" s="447" t="s">
        <v>449</v>
      </c>
      <c r="X3" s="659" t="s">
        <v>448</v>
      </c>
      <c r="Y3" s="447" t="s">
        <v>450</v>
      </c>
      <c r="AA3" s="523" t="s">
        <v>451</v>
      </c>
    </row>
    <row r="4" spans="2:42" s="447" customFormat="1" ht="15" customHeight="1" x14ac:dyDescent="0.25">
      <c r="B4" s="660"/>
      <c r="C4" s="661" t="s">
        <v>54</v>
      </c>
      <c r="D4" s="661" t="s">
        <v>5</v>
      </c>
      <c r="E4" s="661" t="s">
        <v>452</v>
      </c>
      <c r="F4" s="661" t="s">
        <v>5</v>
      </c>
      <c r="G4" s="661" t="s">
        <v>5</v>
      </c>
      <c r="H4" s="671" t="s">
        <v>453</v>
      </c>
      <c r="I4" s="672" t="s">
        <v>454</v>
      </c>
      <c r="J4" s="672" t="s">
        <v>454</v>
      </c>
      <c r="K4" s="672" t="s">
        <v>454</v>
      </c>
      <c r="L4" s="672" t="s">
        <v>454</v>
      </c>
      <c r="M4" s="663" t="s">
        <v>455</v>
      </c>
      <c r="N4" s="673" t="s">
        <v>456</v>
      </c>
      <c r="O4" s="674" t="s">
        <v>457</v>
      </c>
      <c r="P4" s="674" t="s">
        <v>362</v>
      </c>
      <c r="Q4" s="674" t="s">
        <v>39</v>
      </c>
      <c r="R4" s="671"/>
      <c r="S4" s="671" t="s">
        <v>458</v>
      </c>
      <c r="T4" s="667"/>
      <c r="U4" s="654" t="s">
        <v>459</v>
      </c>
      <c r="V4" s="447" t="s">
        <v>460</v>
      </c>
      <c r="W4" s="447" t="s">
        <v>461</v>
      </c>
      <c r="X4" s="659" t="s">
        <v>459</v>
      </c>
      <c r="Y4" s="447" t="s">
        <v>459</v>
      </c>
      <c r="AA4" s="523" t="s">
        <v>462</v>
      </c>
    </row>
    <row r="5" spans="2:42" s="447" customFormat="1" ht="15" customHeight="1" x14ac:dyDescent="0.25">
      <c r="B5" s="675">
        <f t="shared" ref="B5:B14" si="0">B6-1</f>
        <v>1975</v>
      </c>
      <c r="C5" s="661"/>
      <c r="D5" s="661"/>
      <c r="E5" s="661"/>
      <c r="F5" s="661"/>
      <c r="G5" s="661"/>
      <c r="H5" s="671"/>
      <c r="I5" s="672"/>
      <c r="J5" s="672"/>
      <c r="K5" s="672"/>
      <c r="L5" s="672"/>
      <c r="M5" s="672"/>
      <c r="N5" s="673"/>
      <c r="O5" s="674"/>
      <c r="P5" s="674"/>
      <c r="Q5" s="674"/>
      <c r="R5" s="671"/>
      <c r="S5" s="671">
        <v>2226</v>
      </c>
      <c r="T5" s="676">
        <v>2245</v>
      </c>
      <c r="U5" s="654">
        <v>1000</v>
      </c>
      <c r="W5" s="447">
        <v>1</v>
      </c>
      <c r="X5" s="659">
        <f>U5*W5</f>
        <v>1000</v>
      </c>
    </row>
    <row r="6" spans="2:42" s="447" customFormat="1" ht="15" customHeight="1" x14ac:dyDescent="0.25">
      <c r="B6" s="675">
        <f t="shared" si="0"/>
        <v>1976</v>
      </c>
      <c r="C6" s="661"/>
      <c r="D6" s="661"/>
      <c r="E6" s="661"/>
      <c r="F6" s="661"/>
      <c r="G6" s="661"/>
      <c r="H6" s="671"/>
      <c r="I6" s="672"/>
      <c r="J6" s="672"/>
      <c r="K6" s="672"/>
      <c r="L6" s="672"/>
      <c r="M6" s="672"/>
      <c r="N6" s="673"/>
      <c r="O6" s="674"/>
      <c r="P6" s="674"/>
      <c r="Q6" s="674"/>
      <c r="R6" s="671"/>
      <c r="S6" s="671">
        <v>1298</v>
      </c>
      <c r="T6" s="676">
        <v>1298</v>
      </c>
      <c r="U6" s="654">
        <v>470</v>
      </c>
      <c r="W6" s="447">
        <v>1</v>
      </c>
      <c r="X6" s="659">
        <f t="shared" ref="X6:X43" si="1">U6*W6</f>
        <v>470</v>
      </c>
      <c r="AF6" s="447" t="s">
        <v>463</v>
      </c>
      <c r="AP6" s="447" t="s">
        <v>464</v>
      </c>
    </row>
    <row r="7" spans="2:42" s="447" customFormat="1" ht="15" customHeight="1" x14ac:dyDescent="0.25">
      <c r="B7" s="675">
        <f t="shared" si="0"/>
        <v>1977</v>
      </c>
      <c r="C7" s="661"/>
      <c r="D7" s="661"/>
      <c r="E7" s="661"/>
      <c r="F7" s="661"/>
      <c r="G7" s="661"/>
      <c r="H7" s="671"/>
      <c r="I7" s="672"/>
      <c r="J7" s="672"/>
      <c r="K7" s="672"/>
      <c r="L7" s="672"/>
      <c r="M7" s="672"/>
      <c r="N7" s="673"/>
      <c r="O7" s="674"/>
      <c r="P7" s="674"/>
      <c r="Q7" s="674"/>
      <c r="R7" s="671"/>
      <c r="S7" s="671">
        <v>1924</v>
      </c>
      <c r="T7" s="676">
        <v>1924</v>
      </c>
      <c r="U7" s="654">
        <v>600</v>
      </c>
      <c r="V7" s="447">
        <v>0.64600000000000002</v>
      </c>
      <c r="W7" s="447">
        <v>1</v>
      </c>
      <c r="X7" s="659">
        <f t="shared" si="1"/>
        <v>600</v>
      </c>
    </row>
    <row r="8" spans="2:42" s="447" customFormat="1" ht="15" customHeight="1" x14ac:dyDescent="0.25">
      <c r="B8" s="675">
        <f t="shared" si="0"/>
        <v>1978</v>
      </c>
      <c r="C8" s="661"/>
      <c r="D8" s="661"/>
      <c r="E8" s="661"/>
      <c r="F8" s="661"/>
      <c r="G8" s="661"/>
      <c r="H8" s="671"/>
      <c r="I8" s="672"/>
      <c r="J8" s="672"/>
      <c r="K8" s="672"/>
      <c r="L8" s="672"/>
      <c r="M8" s="672"/>
      <c r="N8" s="673"/>
      <c r="O8" s="674"/>
      <c r="P8" s="674"/>
      <c r="Q8" s="674"/>
      <c r="R8" s="671"/>
      <c r="S8" s="671">
        <v>1460</v>
      </c>
      <c r="T8" s="676">
        <v>1485</v>
      </c>
      <c r="U8" s="654">
        <v>640</v>
      </c>
      <c r="V8" s="447">
        <v>0.61199999999999999</v>
      </c>
      <c r="W8" s="447">
        <v>1</v>
      </c>
      <c r="X8" s="659">
        <f t="shared" si="1"/>
        <v>640</v>
      </c>
    </row>
    <row r="9" spans="2:42" s="447" customFormat="1" ht="15" customHeight="1" x14ac:dyDescent="0.25">
      <c r="B9" s="675">
        <f t="shared" si="0"/>
        <v>1979</v>
      </c>
      <c r="C9" s="661"/>
      <c r="D9" s="661"/>
      <c r="E9" s="661"/>
      <c r="F9" s="661"/>
      <c r="G9" s="661"/>
      <c r="H9" s="671"/>
      <c r="I9" s="672"/>
      <c r="J9" s="672"/>
      <c r="K9" s="672"/>
      <c r="L9" s="672"/>
      <c r="M9" s="672"/>
      <c r="N9" s="673"/>
      <c r="O9" s="674"/>
      <c r="P9" s="674"/>
      <c r="Q9" s="674"/>
      <c r="R9" s="671"/>
      <c r="S9" s="671">
        <v>1433</v>
      </c>
      <c r="T9" s="676">
        <v>1437</v>
      </c>
      <c r="U9" s="654">
        <v>500</v>
      </c>
      <c r="V9" s="447">
        <v>0.50700000000000001</v>
      </c>
      <c r="W9" s="447">
        <v>1</v>
      </c>
      <c r="X9" s="659">
        <f t="shared" si="1"/>
        <v>500</v>
      </c>
    </row>
    <row r="10" spans="2:42" s="447" customFormat="1" ht="15" customHeight="1" x14ac:dyDescent="0.25">
      <c r="B10" s="675">
        <f t="shared" si="0"/>
        <v>1980</v>
      </c>
      <c r="C10" s="661"/>
      <c r="D10" s="661"/>
      <c r="E10" s="661"/>
      <c r="F10" s="661"/>
      <c r="G10" s="661"/>
      <c r="H10" s="671"/>
      <c r="I10" s="672"/>
      <c r="J10" s="672"/>
      <c r="K10" s="672"/>
      <c r="L10" s="672"/>
      <c r="M10" s="672"/>
      <c r="N10" s="673"/>
      <c r="O10" s="674"/>
      <c r="P10" s="674"/>
      <c r="Q10" s="674"/>
      <c r="R10" s="671"/>
      <c r="S10" s="671">
        <v>783</v>
      </c>
      <c r="T10" s="676">
        <v>783</v>
      </c>
      <c r="U10" s="654">
        <v>450</v>
      </c>
      <c r="V10" s="447">
        <v>0.26</v>
      </c>
      <c r="W10" s="447">
        <v>1</v>
      </c>
      <c r="X10" s="659">
        <f t="shared" si="1"/>
        <v>450</v>
      </c>
    </row>
    <row r="11" spans="2:42" s="447" customFormat="1" ht="15" customHeight="1" x14ac:dyDescent="0.25">
      <c r="B11" s="675">
        <f t="shared" si="0"/>
        <v>1981</v>
      </c>
      <c r="C11" s="661"/>
      <c r="D11" s="661"/>
      <c r="E11" s="661"/>
      <c r="F11" s="661"/>
      <c r="G11" s="661"/>
      <c r="H11" s="671"/>
      <c r="I11" s="672"/>
      <c r="J11" s="672"/>
      <c r="K11" s="672"/>
      <c r="L11" s="672"/>
      <c r="M11" s="672"/>
      <c r="N11" s="673"/>
      <c r="O11" s="674"/>
      <c r="P11" s="674"/>
      <c r="Q11" s="674"/>
      <c r="R11" s="671"/>
      <c r="S11" s="671">
        <v>1751</v>
      </c>
      <c r="T11" s="676">
        <v>1751</v>
      </c>
      <c r="U11" s="654">
        <v>340</v>
      </c>
      <c r="V11" s="447">
        <v>0.30499999999999999</v>
      </c>
      <c r="W11" s="447">
        <v>1</v>
      </c>
      <c r="X11" s="659">
        <f t="shared" si="1"/>
        <v>340</v>
      </c>
    </row>
    <row r="12" spans="2:42" s="447" customFormat="1" ht="15" customHeight="1" x14ac:dyDescent="0.25">
      <c r="B12" s="675">
        <f t="shared" si="0"/>
        <v>1982</v>
      </c>
      <c r="C12" s="661"/>
      <c r="D12" s="661"/>
      <c r="E12" s="661"/>
      <c r="F12" s="661"/>
      <c r="G12" s="661"/>
      <c r="H12" s="671"/>
      <c r="I12" s="672"/>
      <c r="J12" s="672"/>
      <c r="K12" s="672"/>
      <c r="L12" s="672"/>
      <c r="M12" s="672"/>
      <c r="N12" s="673"/>
      <c r="O12" s="674"/>
      <c r="P12" s="674"/>
      <c r="Q12" s="674"/>
      <c r="R12" s="671"/>
      <c r="S12" s="671">
        <v>2198</v>
      </c>
      <c r="T12" s="676">
        <v>2202</v>
      </c>
      <c r="U12" s="654">
        <v>720</v>
      </c>
      <c r="V12" s="447">
        <v>0.217</v>
      </c>
      <c r="W12" s="447">
        <v>1</v>
      </c>
      <c r="X12" s="659">
        <f t="shared" si="1"/>
        <v>720</v>
      </c>
    </row>
    <row r="13" spans="2:42" s="447" customFormat="1" ht="15" customHeight="1" x14ac:dyDescent="0.25">
      <c r="B13" s="675">
        <f t="shared" si="0"/>
        <v>1983</v>
      </c>
      <c r="C13" s="661"/>
      <c r="D13" s="661"/>
      <c r="E13" s="661"/>
      <c r="F13" s="661"/>
      <c r="G13" s="661"/>
      <c r="H13" s="671"/>
      <c r="I13" s="672"/>
      <c r="J13" s="672"/>
      <c r="K13" s="672"/>
      <c r="L13" s="672"/>
      <c r="M13" s="672"/>
      <c r="N13" s="673"/>
      <c r="O13" s="674"/>
      <c r="P13" s="674"/>
      <c r="Q13" s="674"/>
      <c r="R13" s="671"/>
      <c r="S13" s="671">
        <v>1511</v>
      </c>
      <c r="T13" s="676">
        <v>1512</v>
      </c>
      <c r="U13" s="654">
        <v>532</v>
      </c>
      <c r="V13" s="447">
        <v>0.38400000000000001</v>
      </c>
      <c r="W13" s="677">
        <v>0.81</v>
      </c>
      <c r="X13" s="659">
        <f t="shared" si="1"/>
        <v>430.92</v>
      </c>
    </row>
    <row r="14" spans="2:42" s="447" customFormat="1" ht="15" customHeight="1" x14ac:dyDescent="0.25">
      <c r="B14" s="675">
        <f t="shared" si="0"/>
        <v>1984</v>
      </c>
      <c r="C14" s="661"/>
      <c r="D14" s="661"/>
      <c r="E14" s="661"/>
      <c r="F14" s="661"/>
      <c r="G14" s="661"/>
      <c r="H14" s="671"/>
      <c r="I14" s="672"/>
      <c r="J14" s="672"/>
      <c r="K14" s="672"/>
      <c r="L14" s="672"/>
      <c r="M14" s="672"/>
      <c r="N14" s="673"/>
      <c r="O14" s="674"/>
      <c r="P14" s="674"/>
      <c r="Q14" s="674"/>
      <c r="R14" s="671"/>
      <c r="S14" s="671">
        <v>1368</v>
      </c>
      <c r="T14" s="676">
        <v>1368</v>
      </c>
      <c r="U14" s="654">
        <v>618</v>
      </c>
      <c r="V14" s="447">
        <v>0.57199999999999995</v>
      </c>
      <c r="W14" s="677">
        <v>0.52</v>
      </c>
      <c r="X14" s="659">
        <f t="shared" si="1"/>
        <v>321.36</v>
      </c>
    </row>
    <row r="15" spans="2:42" s="447" customFormat="1" ht="15" customHeight="1" x14ac:dyDescent="0.25">
      <c r="B15" s="675">
        <f>B16-1</f>
        <v>1985</v>
      </c>
      <c r="C15" s="661"/>
      <c r="D15" s="661"/>
      <c r="E15" s="661"/>
      <c r="F15" s="661"/>
      <c r="G15" s="661"/>
      <c r="H15" s="671"/>
      <c r="I15" s="672"/>
      <c r="J15" s="672"/>
      <c r="K15" s="672"/>
      <c r="L15" s="672"/>
      <c r="M15" s="672"/>
      <c r="N15" s="673"/>
      <c r="O15" s="674"/>
      <c r="P15" s="674"/>
      <c r="Q15" s="674"/>
      <c r="R15" s="671"/>
      <c r="S15" s="671">
        <v>2181</v>
      </c>
      <c r="T15" s="676">
        <v>2183</v>
      </c>
      <c r="U15" s="654">
        <v>673</v>
      </c>
      <c r="V15" s="447">
        <v>0.53200000000000003</v>
      </c>
      <c r="W15" s="677">
        <v>0.65</v>
      </c>
      <c r="X15" s="659">
        <f t="shared" si="1"/>
        <v>437.45</v>
      </c>
    </row>
    <row r="16" spans="2:42" s="447" customFormat="1" x14ac:dyDescent="0.25">
      <c r="B16" s="678">
        <v>1986</v>
      </c>
      <c r="C16" s="679">
        <v>2830</v>
      </c>
      <c r="D16" s="680">
        <v>652</v>
      </c>
      <c r="E16" s="679">
        <v>2178</v>
      </c>
      <c r="F16" s="680">
        <v>723</v>
      </c>
      <c r="G16" s="680">
        <v>12</v>
      </c>
      <c r="H16" s="680">
        <v>449</v>
      </c>
      <c r="I16" s="681">
        <f t="shared" ref="I16:I46" si="2">D16/C16</f>
        <v>0.23038869257950531</v>
      </c>
      <c r="J16" s="681">
        <f t="shared" ref="J16:J46" si="3">F16/C16</f>
        <v>0.25547703180212011</v>
      </c>
      <c r="K16" s="681">
        <f t="shared" ref="K16:K46" si="4">(D16+F16+G16)/C16</f>
        <v>0.49010600706713781</v>
      </c>
      <c r="L16" s="681">
        <f t="shared" ref="L16:L46" si="5">G16/C16</f>
        <v>4.2402826855123671E-3</v>
      </c>
      <c r="M16" s="682">
        <f>I16+L16</f>
        <v>0.23462897526501769</v>
      </c>
      <c r="N16" s="683">
        <f t="shared" ref="N16:N46" si="6">H16/C16</f>
        <v>0.15865724381625443</v>
      </c>
      <c r="O16" s="684">
        <v>0.23516520985540809</v>
      </c>
      <c r="P16" s="684">
        <v>0.33178358450156453</v>
      </c>
      <c r="Q16" s="684">
        <v>0.5678722504981335</v>
      </c>
      <c r="R16" s="680"/>
      <c r="S16" s="680">
        <v>2584</v>
      </c>
      <c r="T16" s="676">
        <v>2585</v>
      </c>
      <c r="U16" s="654">
        <v>761</v>
      </c>
      <c r="V16" s="447">
        <v>0.752</v>
      </c>
      <c r="W16" s="677">
        <v>0.59</v>
      </c>
      <c r="X16" s="659">
        <f t="shared" si="1"/>
        <v>448.98999999999995</v>
      </c>
      <c r="Y16" s="659">
        <f>U16-X16</f>
        <v>312.01000000000005</v>
      </c>
    </row>
    <row r="17" spans="2:29" s="447" customFormat="1" x14ac:dyDescent="0.25">
      <c r="B17" s="678">
        <v>1987</v>
      </c>
      <c r="C17" s="679">
        <v>1783</v>
      </c>
      <c r="D17" s="680">
        <v>491</v>
      </c>
      <c r="E17" s="679">
        <v>1292</v>
      </c>
      <c r="F17" s="680">
        <v>379</v>
      </c>
      <c r="G17" s="680">
        <v>2</v>
      </c>
      <c r="H17" s="680">
        <v>253</v>
      </c>
      <c r="I17" s="681">
        <f t="shared" si="2"/>
        <v>0.27537857543466071</v>
      </c>
      <c r="J17" s="681">
        <f t="shared" si="3"/>
        <v>0.21256309590577679</v>
      </c>
      <c r="K17" s="681">
        <f t="shared" si="4"/>
        <v>0.48906337633202468</v>
      </c>
      <c r="L17" s="681">
        <f t="shared" si="5"/>
        <v>1.1217049915872126E-3</v>
      </c>
      <c r="M17" s="682">
        <f t="shared" ref="M17:M46" si="7">I17+L17</f>
        <v>0.27650028042624791</v>
      </c>
      <c r="N17" s="683">
        <f t="shared" si="6"/>
        <v>0.14189568143578238</v>
      </c>
      <c r="O17" s="684">
        <v>0.27708626526187669</v>
      </c>
      <c r="P17" s="684">
        <v>0.29314689437450075</v>
      </c>
      <c r="Q17" s="684">
        <v>0.57050178768399828</v>
      </c>
      <c r="R17" s="680"/>
      <c r="S17" s="680">
        <v>1339</v>
      </c>
      <c r="T17" s="676">
        <v>1344</v>
      </c>
      <c r="U17" s="654">
        <v>902</v>
      </c>
      <c r="V17" s="447">
        <v>0.75800000000000001</v>
      </c>
      <c r="W17" s="677">
        <v>0.28000000000000003</v>
      </c>
      <c r="X17" s="659">
        <f t="shared" si="1"/>
        <v>252.56000000000003</v>
      </c>
      <c r="Y17" s="659">
        <f t="shared" ref="Y17:Y44" si="8">U17-X17</f>
        <v>649.43999999999994</v>
      </c>
    </row>
    <row r="18" spans="2:29" s="447" customFormat="1" x14ac:dyDescent="0.25">
      <c r="B18" s="678">
        <v>1988</v>
      </c>
      <c r="C18" s="679">
        <v>3558</v>
      </c>
      <c r="D18" s="680">
        <v>944</v>
      </c>
      <c r="E18" s="679">
        <v>2614</v>
      </c>
      <c r="F18" s="680">
        <v>965</v>
      </c>
      <c r="G18" s="680">
        <v>7</v>
      </c>
      <c r="H18" s="680">
        <v>368</v>
      </c>
      <c r="I18" s="681">
        <f t="shared" si="2"/>
        <v>0.26531759415401912</v>
      </c>
      <c r="J18" s="681">
        <f t="shared" si="3"/>
        <v>0.27121978639685218</v>
      </c>
      <c r="K18" s="681">
        <f t="shared" si="4"/>
        <v>0.53850477796514895</v>
      </c>
      <c r="L18" s="681">
        <f t="shared" si="5"/>
        <v>1.9673974142776843E-3</v>
      </c>
      <c r="M18" s="682">
        <f t="shared" si="7"/>
        <v>0.26728499156829683</v>
      </c>
      <c r="N18" s="683">
        <f t="shared" si="6"/>
        <v>0.10342889263631254</v>
      </c>
      <c r="O18" s="684">
        <v>0.26716090787402735</v>
      </c>
      <c r="P18" s="684">
        <v>0.36898636423811837</v>
      </c>
      <c r="Q18" s="684">
        <v>0.63714163835076421</v>
      </c>
      <c r="R18" s="680"/>
      <c r="S18" s="680">
        <v>956</v>
      </c>
      <c r="T18" s="676">
        <v>956</v>
      </c>
      <c r="U18" s="654">
        <v>609</v>
      </c>
      <c r="V18" s="447">
        <v>0.80800000000000005</v>
      </c>
      <c r="W18" s="677">
        <v>0.6</v>
      </c>
      <c r="X18" s="659">
        <f t="shared" si="1"/>
        <v>365.4</v>
      </c>
      <c r="Y18" s="659">
        <f t="shared" si="8"/>
        <v>243.60000000000002</v>
      </c>
    </row>
    <row r="19" spans="2:29" s="447" customFormat="1" x14ac:dyDescent="0.25">
      <c r="B19" s="678">
        <v>1989</v>
      </c>
      <c r="C19" s="679">
        <v>1981</v>
      </c>
      <c r="D19" s="680">
        <v>373</v>
      </c>
      <c r="E19" s="679">
        <v>1608</v>
      </c>
      <c r="F19" s="680">
        <v>608</v>
      </c>
      <c r="G19" s="680">
        <v>8</v>
      </c>
      <c r="H19" s="680">
        <v>295</v>
      </c>
      <c r="I19" s="681">
        <f t="shared" si="2"/>
        <v>0.18828874305906107</v>
      </c>
      <c r="J19" s="681">
        <f t="shared" si="3"/>
        <v>0.30691569914184758</v>
      </c>
      <c r="K19" s="681">
        <f t="shared" si="4"/>
        <v>0.49924280666330134</v>
      </c>
      <c r="L19" s="681">
        <f t="shared" si="5"/>
        <v>4.0383644623927309E-3</v>
      </c>
      <c r="M19" s="682">
        <f t="shared" si="7"/>
        <v>0.19232710752145379</v>
      </c>
      <c r="N19" s="683">
        <f t="shared" si="6"/>
        <v>0.14891468955073195</v>
      </c>
      <c r="O19" s="684">
        <v>0.19314433108051221</v>
      </c>
      <c r="P19" s="684">
        <v>0.37807976976831403</v>
      </c>
      <c r="Q19" s="684">
        <v>0.57143458526915214</v>
      </c>
      <c r="R19" s="680"/>
      <c r="S19" s="680">
        <v>973</v>
      </c>
      <c r="T19" s="676">
        <v>982</v>
      </c>
      <c r="U19" s="654">
        <v>677</v>
      </c>
      <c r="V19" s="447">
        <v>0.76300000000000001</v>
      </c>
      <c r="W19" s="677">
        <v>0.44</v>
      </c>
      <c r="X19" s="659">
        <f t="shared" si="1"/>
        <v>297.88</v>
      </c>
      <c r="Y19" s="659">
        <f t="shared" si="8"/>
        <v>379.12</v>
      </c>
    </row>
    <row r="20" spans="2:29" s="447" customFormat="1" x14ac:dyDescent="0.25">
      <c r="B20" s="678">
        <v>1990</v>
      </c>
      <c r="C20" s="680">
        <v>508</v>
      </c>
      <c r="D20" s="680">
        <v>71</v>
      </c>
      <c r="E20" s="680">
        <v>437</v>
      </c>
      <c r="F20" s="680">
        <v>169</v>
      </c>
      <c r="G20" s="680">
        <v>2</v>
      </c>
      <c r="H20" s="680">
        <v>78</v>
      </c>
      <c r="I20" s="681">
        <f t="shared" si="2"/>
        <v>0.13976377952755906</v>
      </c>
      <c r="J20" s="681">
        <f t="shared" si="3"/>
        <v>0.33267716535433073</v>
      </c>
      <c r="K20" s="681">
        <f t="shared" si="4"/>
        <v>0.4763779527559055</v>
      </c>
      <c r="L20" s="681">
        <f t="shared" si="5"/>
        <v>3.937007874015748E-3</v>
      </c>
      <c r="M20" s="682">
        <f t="shared" si="7"/>
        <v>0.1437007874015748</v>
      </c>
      <c r="N20" s="683">
        <f t="shared" si="6"/>
        <v>0.15354330708661418</v>
      </c>
      <c r="O20" s="684">
        <v>0.14359378357086586</v>
      </c>
      <c r="P20" s="684">
        <v>0.38714003893406601</v>
      </c>
      <c r="Q20" s="684">
        <v>0.53092263319291899</v>
      </c>
      <c r="R20" s="680"/>
      <c r="S20" s="680">
        <v>574</v>
      </c>
      <c r="T20" s="676">
        <v>575</v>
      </c>
      <c r="U20" s="654">
        <v>317</v>
      </c>
      <c r="V20" s="447">
        <v>0.77500000000000002</v>
      </c>
      <c r="W20" s="677">
        <v>0.25</v>
      </c>
      <c r="X20" s="659">
        <f t="shared" si="1"/>
        <v>79.25</v>
      </c>
      <c r="Y20" s="659">
        <f t="shared" si="8"/>
        <v>237.75</v>
      </c>
    </row>
    <row r="21" spans="2:29" s="447" customFormat="1" x14ac:dyDescent="0.25">
      <c r="B21" s="678">
        <v>1991</v>
      </c>
      <c r="C21" s="679">
        <v>1846</v>
      </c>
      <c r="D21" s="680">
        <v>275</v>
      </c>
      <c r="E21" s="679">
        <v>1571</v>
      </c>
      <c r="F21" s="680">
        <v>379</v>
      </c>
      <c r="G21" s="680">
        <v>17</v>
      </c>
      <c r="H21" s="680">
        <v>318</v>
      </c>
      <c r="I21" s="681">
        <f t="shared" si="2"/>
        <v>0.14897074756229686</v>
      </c>
      <c r="J21" s="681">
        <f t="shared" si="3"/>
        <v>0.20530877573131096</v>
      </c>
      <c r="K21" s="681">
        <f t="shared" si="4"/>
        <v>0.36348862405200433</v>
      </c>
      <c r="L21" s="681">
        <f t="shared" si="5"/>
        <v>9.2091007583965327E-3</v>
      </c>
      <c r="M21" s="682">
        <f t="shared" si="7"/>
        <v>0.1581798483206934</v>
      </c>
      <c r="N21" s="683">
        <f t="shared" si="6"/>
        <v>0.1722643553629469</v>
      </c>
      <c r="O21" s="685">
        <v>0.15960536762000657</v>
      </c>
      <c r="P21" s="685">
        <v>0.24126212652247159</v>
      </c>
      <c r="Q21" s="685">
        <v>0.40147745096140813</v>
      </c>
      <c r="R21" s="680"/>
      <c r="S21" s="680">
        <v>1027</v>
      </c>
      <c r="T21" s="676">
        <v>1027</v>
      </c>
      <c r="U21" s="654">
        <v>571</v>
      </c>
      <c r="V21" s="447">
        <v>0.66700000000000004</v>
      </c>
      <c r="W21" s="677">
        <v>0.56000000000000005</v>
      </c>
      <c r="X21" s="659">
        <f t="shared" si="1"/>
        <v>319.76000000000005</v>
      </c>
      <c r="Y21" s="659">
        <f t="shared" si="8"/>
        <v>251.23999999999995</v>
      </c>
    </row>
    <row r="22" spans="2:29" s="447" customFormat="1" x14ac:dyDescent="0.25">
      <c r="B22" s="678">
        <v>1992</v>
      </c>
      <c r="C22" s="679">
        <v>1289</v>
      </c>
      <c r="D22" s="680">
        <v>112</v>
      </c>
      <c r="E22" s="679">
        <v>1178</v>
      </c>
      <c r="F22" s="680">
        <v>202</v>
      </c>
      <c r="G22" s="680">
        <v>6</v>
      </c>
      <c r="H22" s="680">
        <v>549</v>
      </c>
      <c r="I22" s="681">
        <f t="shared" si="2"/>
        <v>8.6889061287820021E-2</v>
      </c>
      <c r="J22" s="681">
        <f t="shared" si="3"/>
        <v>0.15671062839410396</v>
      </c>
      <c r="K22" s="681">
        <f t="shared" si="4"/>
        <v>0.2482544608223429</v>
      </c>
      <c r="L22" s="681">
        <f t="shared" si="5"/>
        <v>4.6547711404189293E-3</v>
      </c>
      <c r="M22" s="682">
        <f t="shared" si="7"/>
        <v>9.154383242823895E-2</v>
      </c>
      <c r="N22" s="683">
        <f t="shared" si="6"/>
        <v>0.42591155934833203</v>
      </c>
      <c r="O22" s="685">
        <v>8.9611928507949051E-2</v>
      </c>
      <c r="P22" s="685">
        <v>0.17143527204502815</v>
      </c>
      <c r="Q22" s="685">
        <v>0.26320726770020736</v>
      </c>
      <c r="R22" s="680"/>
      <c r="S22" s="680">
        <v>957</v>
      </c>
      <c r="T22" s="676">
        <v>957</v>
      </c>
      <c r="U22" s="654">
        <v>660</v>
      </c>
      <c r="V22" s="447">
        <v>0.61899999999999999</v>
      </c>
      <c r="W22" s="677">
        <v>0.83</v>
      </c>
      <c r="X22" s="659">
        <f t="shared" si="1"/>
        <v>547.79999999999995</v>
      </c>
      <c r="Y22" s="659">
        <f t="shared" si="8"/>
        <v>112.20000000000005</v>
      </c>
    </row>
    <row r="23" spans="2:29" s="447" customFormat="1" x14ac:dyDescent="0.25">
      <c r="B23" s="678">
        <v>1993</v>
      </c>
      <c r="C23" s="679">
        <v>1475</v>
      </c>
      <c r="D23" s="680">
        <v>107</v>
      </c>
      <c r="E23" s="679">
        <v>1368</v>
      </c>
      <c r="F23" s="680">
        <v>270</v>
      </c>
      <c r="G23" s="680">
        <v>11</v>
      </c>
      <c r="H23" s="680">
        <v>742</v>
      </c>
      <c r="I23" s="681">
        <f t="shared" si="2"/>
        <v>7.2542372881355927E-2</v>
      </c>
      <c r="J23" s="681">
        <f t="shared" si="3"/>
        <v>0.18305084745762712</v>
      </c>
      <c r="K23" s="681">
        <f t="shared" si="4"/>
        <v>0.26305084745762713</v>
      </c>
      <c r="L23" s="681">
        <f t="shared" si="5"/>
        <v>7.4576271186440682E-3</v>
      </c>
      <c r="M23" s="682">
        <f t="shared" si="7"/>
        <v>7.9999999999999988E-2</v>
      </c>
      <c r="N23" s="683">
        <f t="shared" si="6"/>
        <v>0.50305084745762707</v>
      </c>
      <c r="O23" s="685">
        <v>7.9099778442881019E-2</v>
      </c>
      <c r="P23" s="685">
        <v>0.19764255451471216</v>
      </c>
      <c r="Q23" s="685">
        <v>0.27772379212500486</v>
      </c>
      <c r="R23" s="680"/>
      <c r="S23" s="680">
        <v>1198</v>
      </c>
      <c r="T23" s="676">
        <v>1209</v>
      </c>
      <c r="U23" s="654">
        <v>937</v>
      </c>
      <c r="V23" s="447">
        <v>0.63300000000000001</v>
      </c>
      <c r="W23" s="677">
        <v>0.79</v>
      </c>
      <c r="X23" s="659">
        <f t="shared" si="1"/>
        <v>740.23</v>
      </c>
      <c r="Y23" s="659">
        <f t="shared" si="8"/>
        <v>196.76999999999998</v>
      </c>
    </row>
    <row r="24" spans="2:29" s="447" customFormat="1" x14ac:dyDescent="0.25">
      <c r="B24" s="678">
        <v>1994</v>
      </c>
      <c r="C24" s="680">
        <v>958</v>
      </c>
      <c r="D24" s="680">
        <v>0</v>
      </c>
      <c r="E24" s="680">
        <v>958</v>
      </c>
      <c r="F24" s="680">
        <v>173</v>
      </c>
      <c r="G24" s="680">
        <v>1</v>
      </c>
      <c r="H24" s="680">
        <v>406</v>
      </c>
      <c r="I24" s="681">
        <f t="shared" si="2"/>
        <v>0</v>
      </c>
      <c r="J24" s="681">
        <f t="shared" si="3"/>
        <v>0.18058455114822547</v>
      </c>
      <c r="K24" s="681">
        <f t="shared" si="4"/>
        <v>0.18162839248434237</v>
      </c>
      <c r="L24" s="681">
        <f t="shared" si="5"/>
        <v>1.0438413361169101E-3</v>
      </c>
      <c r="M24" s="682">
        <f t="shared" si="7"/>
        <v>1.0438413361169101E-3</v>
      </c>
      <c r="N24" s="683">
        <f t="shared" si="6"/>
        <v>0.42379958246346555</v>
      </c>
      <c r="O24" s="685">
        <v>1.1969376463237453E-3</v>
      </c>
      <c r="P24" s="685">
        <v>0.18063972176845655</v>
      </c>
      <c r="Q24" s="685">
        <v>0.18185171523423091</v>
      </c>
      <c r="R24" s="680"/>
      <c r="S24" s="680">
        <v>1042</v>
      </c>
      <c r="T24" s="676">
        <v>1046</v>
      </c>
      <c r="U24" s="654">
        <v>592</v>
      </c>
      <c r="V24" s="447">
        <v>0.47799999999999998</v>
      </c>
      <c r="W24" s="677">
        <v>0.69</v>
      </c>
      <c r="X24" s="659">
        <f t="shared" si="1"/>
        <v>408.47999999999996</v>
      </c>
      <c r="Y24" s="659">
        <f t="shared" si="8"/>
        <v>183.52000000000004</v>
      </c>
    </row>
    <row r="25" spans="2:29" s="447" customFormat="1" x14ac:dyDescent="0.25">
      <c r="B25" s="678">
        <v>1995</v>
      </c>
      <c r="C25" s="679">
        <v>1296</v>
      </c>
      <c r="D25" s="680">
        <v>10</v>
      </c>
      <c r="E25" s="679">
        <v>1286</v>
      </c>
      <c r="F25" s="680">
        <v>225</v>
      </c>
      <c r="G25" s="680">
        <v>9</v>
      </c>
      <c r="H25" s="680">
        <v>350</v>
      </c>
      <c r="I25" s="681">
        <f t="shared" si="2"/>
        <v>7.716049382716049E-3</v>
      </c>
      <c r="J25" s="681">
        <f t="shared" si="3"/>
        <v>0.1736111111111111</v>
      </c>
      <c r="K25" s="681">
        <f t="shared" si="4"/>
        <v>0.18827160493827161</v>
      </c>
      <c r="L25" s="681">
        <f t="shared" si="5"/>
        <v>6.9444444444444441E-3</v>
      </c>
      <c r="M25" s="682">
        <f t="shared" si="7"/>
        <v>1.4660493827160493E-2</v>
      </c>
      <c r="N25" s="683">
        <f t="shared" si="6"/>
        <v>0.27006172839506171</v>
      </c>
      <c r="O25" s="685">
        <v>1.432476352398576E-2</v>
      </c>
      <c r="P25" s="685">
        <v>0.17517541964512159</v>
      </c>
      <c r="Q25" s="685">
        <v>0.18951896974422078</v>
      </c>
      <c r="R25" s="680"/>
      <c r="S25" s="680">
        <v>1371</v>
      </c>
      <c r="T25" s="676">
        <v>1375</v>
      </c>
      <c r="U25" s="654">
        <v>617</v>
      </c>
      <c r="V25" s="447">
        <v>0.42799999999999999</v>
      </c>
      <c r="W25" s="677">
        <v>0.56999999999999995</v>
      </c>
      <c r="X25" s="659">
        <f t="shared" si="1"/>
        <v>351.69</v>
      </c>
      <c r="Y25" s="659">
        <f t="shared" si="8"/>
        <v>265.31</v>
      </c>
    </row>
    <row r="26" spans="2:29" s="447" customFormat="1" x14ac:dyDescent="0.25">
      <c r="B26" s="678">
        <v>1996</v>
      </c>
      <c r="C26" s="679">
        <v>1729</v>
      </c>
      <c r="D26" s="680">
        <v>95</v>
      </c>
      <c r="E26" s="679">
        <v>1634</v>
      </c>
      <c r="F26" s="680">
        <v>350</v>
      </c>
      <c r="G26" s="680">
        <v>3</v>
      </c>
      <c r="H26" s="680">
        <v>639</v>
      </c>
      <c r="I26" s="681">
        <f t="shared" si="2"/>
        <v>5.4945054945054944E-2</v>
      </c>
      <c r="J26" s="681">
        <f t="shared" si="3"/>
        <v>0.20242914979757085</v>
      </c>
      <c r="K26" s="681">
        <f t="shared" si="4"/>
        <v>0.25910931174089069</v>
      </c>
      <c r="L26" s="681">
        <f t="shared" si="5"/>
        <v>1.735106998264893E-3</v>
      </c>
      <c r="M26" s="682">
        <f t="shared" si="7"/>
        <v>5.6680161943319839E-2</v>
      </c>
      <c r="N26" s="683">
        <f t="shared" si="6"/>
        <v>0.36957779063042223</v>
      </c>
      <c r="O26" s="685">
        <v>5.6932913308983403E-2</v>
      </c>
      <c r="P26" s="685">
        <v>0.21403302309894731</v>
      </c>
      <c r="Q26" s="685">
        <v>0.27096593640793071</v>
      </c>
      <c r="R26" s="680"/>
      <c r="S26" s="680">
        <v>1732</v>
      </c>
      <c r="T26" s="676">
        <v>1732</v>
      </c>
      <c r="U26" s="654">
        <v>899</v>
      </c>
      <c r="V26" s="447">
        <v>0.38</v>
      </c>
      <c r="W26" s="677">
        <v>0.71</v>
      </c>
      <c r="X26" s="659">
        <f t="shared" si="1"/>
        <v>638.29</v>
      </c>
      <c r="Y26" s="659">
        <f t="shared" si="8"/>
        <v>260.71000000000004</v>
      </c>
      <c r="AC26" s="447" t="s">
        <v>465</v>
      </c>
    </row>
    <row r="27" spans="2:29" s="447" customFormat="1" x14ac:dyDescent="0.25">
      <c r="B27" s="678">
        <v>1997</v>
      </c>
      <c r="C27" s="679">
        <v>1839</v>
      </c>
      <c r="D27" s="680">
        <v>99</v>
      </c>
      <c r="E27" s="679">
        <v>1740</v>
      </c>
      <c r="F27" s="680">
        <v>459</v>
      </c>
      <c r="G27" s="680">
        <v>7</v>
      </c>
      <c r="H27" s="680">
        <v>797</v>
      </c>
      <c r="I27" s="681">
        <f t="shared" si="2"/>
        <v>5.3833605220228384E-2</v>
      </c>
      <c r="J27" s="681">
        <f t="shared" si="3"/>
        <v>0.24959216965742251</v>
      </c>
      <c r="K27" s="681">
        <f t="shared" si="4"/>
        <v>0.3072321914083741</v>
      </c>
      <c r="L27" s="681">
        <f t="shared" si="5"/>
        <v>3.8064165307232192E-3</v>
      </c>
      <c r="M27" s="682">
        <f t="shared" si="7"/>
        <v>5.7640021750951606E-2</v>
      </c>
      <c r="N27" s="683">
        <f t="shared" si="6"/>
        <v>0.43338771071234367</v>
      </c>
      <c r="O27" s="685">
        <v>5.8020836553621662E-2</v>
      </c>
      <c r="P27" s="685">
        <v>0.26364114137323397</v>
      </c>
      <c r="Q27" s="685">
        <v>0.32166197792685564</v>
      </c>
      <c r="R27" s="680"/>
      <c r="S27" s="680">
        <v>1949</v>
      </c>
      <c r="T27" s="676">
        <v>1955</v>
      </c>
      <c r="U27" s="654">
        <v>992</v>
      </c>
      <c r="V27" s="447">
        <v>0.495</v>
      </c>
      <c r="W27" s="677">
        <v>0.8</v>
      </c>
      <c r="X27" s="659">
        <f t="shared" si="1"/>
        <v>793.6</v>
      </c>
      <c r="Y27" s="659">
        <f t="shared" si="8"/>
        <v>198.39999999999998</v>
      </c>
      <c r="AC27" s="420" t="s">
        <v>466</v>
      </c>
    </row>
    <row r="28" spans="2:29" s="447" customFormat="1" x14ac:dyDescent="0.25">
      <c r="B28" s="678">
        <v>1998</v>
      </c>
      <c r="C28" s="680">
        <v>730</v>
      </c>
      <c r="D28" s="680">
        <v>21</v>
      </c>
      <c r="E28" s="680">
        <v>709</v>
      </c>
      <c r="F28" s="680">
        <v>165</v>
      </c>
      <c r="G28" s="680">
        <v>4</v>
      </c>
      <c r="H28" s="680">
        <v>306</v>
      </c>
      <c r="I28" s="681">
        <f t="shared" si="2"/>
        <v>2.8767123287671233E-2</v>
      </c>
      <c r="J28" s="681">
        <f t="shared" si="3"/>
        <v>0.22602739726027396</v>
      </c>
      <c r="K28" s="681">
        <f t="shared" si="4"/>
        <v>0.26027397260273971</v>
      </c>
      <c r="L28" s="681">
        <f t="shared" si="5"/>
        <v>5.4794520547945206E-3</v>
      </c>
      <c r="M28" s="682">
        <f t="shared" si="7"/>
        <v>3.4246575342465752E-2</v>
      </c>
      <c r="N28" s="683">
        <f t="shared" si="6"/>
        <v>0.41917808219178082</v>
      </c>
      <c r="O28" s="685">
        <v>3.4257460709871096E-2</v>
      </c>
      <c r="P28" s="685">
        <v>0.23312731767614339</v>
      </c>
      <c r="Q28" s="685">
        <v>0.26738477838601449</v>
      </c>
      <c r="R28" s="680"/>
      <c r="S28" s="680">
        <v>3911</v>
      </c>
      <c r="T28" s="676">
        <v>3911</v>
      </c>
      <c r="U28" s="654">
        <v>916</v>
      </c>
      <c r="V28" s="447">
        <v>0.41599999999999998</v>
      </c>
      <c r="W28" s="677">
        <v>0.33</v>
      </c>
      <c r="X28" s="659">
        <f t="shared" si="1"/>
        <v>302.28000000000003</v>
      </c>
      <c r="Y28" s="659">
        <f t="shared" si="8"/>
        <v>613.72</v>
      </c>
    </row>
    <row r="29" spans="2:29" s="447" customFormat="1" x14ac:dyDescent="0.25">
      <c r="B29" s="678">
        <v>1999</v>
      </c>
      <c r="C29" s="679">
        <v>2395</v>
      </c>
      <c r="D29" s="680">
        <v>163</v>
      </c>
      <c r="E29" s="679">
        <v>2232</v>
      </c>
      <c r="F29" s="680">
        <v>515</v>
      </c>
      <c r="G29" s="680">
        <v>11</v>
      </c>
      <c r="H29" s="680">
        <v>905</v>
      </c>
      <c r="I29" s="681">
        <f t="shared" si="2"/>
        <v>6.8058455114822544E-2</v>
      </c>
      <c r="J29" s="681">
        <f t="shared" si="3"/>
        <v>0.21503131524008351</v>
      </c>
      <c r="K29" s="681">
        <f t="shared" si="4"/>
        <v>0.28768267223382044</v>
      </c>
      <c r="L29" s="681">
        <f t="shared" si="5"/>
        <v>4.5929018789144047E-3</v>
      </c>
      <c r="M29" s="682">
        <f t="shared" si="7"/>
        <v>7.2651356993736954E-2</v>
      </c>
      <c r="N29" s="683">
        <f t="shared" si="6"/>
        <v>0.37787056367432148</v>
      </c>
      <c r="O29" s="685">
        <v>7.3012677151589322E-2</v>
      </c>
      <c r="P29" s="685">
        <v>0.23076273893989355</v>
      </c>
      <c r="Q29" s="685">
        <v>0.30377541609148284</v>
      </c>
      <c r="R29" s="680"/>
      <c r="S29" s="680">
        <v>5226</v>
      </c>
      <c r="T29" s="676">
        <v>5237</v>
      </c>
      <c r="U29" s="654">
        <v>1795</v>
      </c>
      <c r="V29" s="447">
        <v>0.48699999999999999</v>
      </c>
      <c r="W29" s="677">
        <v>0.5</v>
      </c>
      <c r="X29" s="659">
        <f t="shared" si="1"/>
        <v>897.5</v>
      </c>
      <c r="Y29" s="659">
        <f t="shared" si="8"/>
        <v>897.5</v>
      </c>
    </row>
    <row r="30" spans="2:29" s="447" customFormat="1" x14ac:dyDescent="0.25">
      <c r="B30" s="678">
        <v>2000</v>
      </c>
      <c r="C30" s="679">
        <v>2612</v>
      </c>
      <c r="D30" s="680">
        <v>179</v>
      </c>
      <c r="E30" s="679">
        <v>2432</v>
      </c>
      <c r="F30" s="680">
        <v>520</v>
      </c>
      <c r="G30" s="680">
        <v>9</v>
      </c>
      <c r="H30" s="679">
        <v>1148</v>
      </c>
      <c r="I30" s="681">
        <f t="shared" si="2"/>
        <v>6.8529862174578862E-2</v>
      </c>
      <c r="J30" s="681">
        <f t="shared" si="3"/>
        <v>0.19908116385911179</v>
      </c>
      <c r="K30" s="681">
        <f t="shared" si="4"/>
        <v>0.27105666156202146</v>
      </c>
      <c r="L30" s="681">
        <f t="shared" si="5"/>
        <v>3.4456355283307809E-3</v>
      </c>
      <c r="M30" s="682">
        <f t="shared" si="7"/>
        <v>7.1975497702909647E-2</v>
      </c>
      <c r="N30" s="683">
        <f t="shared" si="6"/>
        <v>0.43950995405819293</v>
      </c>
      <c r="O30" s="685">
        <v>7.3377821769532878E-2</v>
      </c>
      <c r="P30" s="685">
        <v>0.21396596315335739</v>
      </c>
      <c r="Q30" s="685">
        <v>0.28735017082282321</v>
      </c>
      <c r="R30" s="679"/>
      <c r="S30" s="679">
        <v>10824</v>
      </c>
      <c r="T30" s="676">
        <v>10824</v>
      </c>
      <c r="U30" s="654">
        <v>2558</v>
      </c>
      <c r="V30" s="447">
        <v>0.46</v>
      </c>
      <c r="W30" s="677">
        <v>0.45</v>
      </c>
      <c r="X30" s="659">
        <f t="shared" si="1"/>
        <v>1151.1000000000001</v>
      </c>
      <c r="Y30" s="659">
        <f t="shared" si="8"/>
        <v>1406.8999999999999</v>
      </c>
    </row>
    <row r="31" spans="2:29" s="447" customFormat="1" x14ac:dyDescent="0.25">
      <c r="B31" s="678">
        <v>2001</v>
      </c>
      <c r="C31" s="679">
        <v>14133</v>
      </c>
      <c r="D31" s="680">
        <v>778</v>
      </c>
      <c r="E31" s="679">
        <v>13355</v>
      </c>
      <c r="F31" s="679">
        <v>2020</v>
      </c>
      <c r="G31" s="680">
        <v>63</v>
      </c>
      <c r="H31" s="679">
        <v>5163</v>
      </c>
      <c r="I31" s="681">
        <f t="shared" si="2"/>
        <v>5.5048468124248212E-2</v>
      </c>
      <c r="J31" s="681">
        <f t="shared" si="3"/>
        <v>0.14292789924290666</v>
      </c>
      <c r="K31" s="681">
        <f t="shared" si="4"/>
        <v>0.20243401967027524</v>
      </c>
      <c r="L31" s="681">
        <f t="shared" si="5"/>
        <v>4.4576523031203564E-3</v>
      </c>
      <c r="M31" s="682">
        <f t="shared" si="7"/>
        <v>5.9506120427368567E-2</v>
      </c>
      <c r="N31" s="683">
        <f t="shared" si="6"/>
        <v>0.36531521969857778</v>
      </c>
      <c r="O31" s="685">
        <v>6.0991410103027117E-2</v>
      </c>
      <c r="P31" s="685">
        <v>0.1512656757012644</v>
      </c>
      <c r="Q31" s="685">
        <v>0.21225708580429151</v>
      </c>
      <c r="R31" s="679"/>
      <c r="S31" s="679">
        <v>17715</v>
      </c>
      <c r="T31" s="676">
        <v>17749</v>
      </c>
      <c r="U31" s="654">
        <v>9545</v>
      </c>
      <c r="V31" s="447">
        <v>0.38</v>
      </c>
      <c r="W31" s="677">
        <v>0.54</v>
      </c>
      <c r="X31" s="659">
        <f t="shared" si="1"/>
        <v>5154.3</v>
      </c>
      <c r="Y31" s="659">
        <f t="shared" si="8"/>
        <v>4390.7</v>
      </c>
    </row>
    <row r="32" spans="2:29" s="447" customFormat="1" x14ac:dyDescent="0.25">
      <c r="B32" s="678">
        <v>2002</v>
      </c>
      <c r="C32" s="679">
        <v>3665</v>
      </c>
      <c r="D32" s="680">
        <v>250</v>
      </c>
      <c r="E32" s="679">
        <v>3416</v>
      </c>
      <c r="F32" s="680">
        <v>709</v>
      </c>
      <c r="G32" s="680">
        <v>11</v>
      </c>
      <c r="H32" s="679">
        <v>2116</v>
      </c>
      <c r="I32" s="681">
        <f t="shared" si="2"/>
        <v>6.8212824010914053E-2</v>
      </c>
      <c r="J32" s="681">
        <f t="shared" si="3"/>
        <v>0.19345156889495224</v>
      </c>
      <c r="K32" s="681">
        <f t="shared" si="4"/>
        <v>0.26466575716234653</v>
      </c>
      <c r="L32" s="681">
        <f t="shared" si="5"/>
        <v>3.0013642564802184E-3</v>
      </c>
      <c r="M32" s="682">
        <f t="shared" si="7"/>
        <v>7.1214188267394271E-2</v>
      </c>
      <c r="N32" s="683">
        <f t="shared" si="6"/>
        <v>0.57735334242837655</v>
      </c>
      <c r="O32" s="685">
        <v>7.2123570907321813E-2</v>
      </c>
      <c r="P32" s="685">
        <v>0.20746705395853307</v>
      </c>
      <c r="Q32" s="685">
        <v>0.27959777927225382</v>
      </c>
      <c r="R32" s="679"/>
      <c r="S32" s="679">
        <v>18057</v>
      </c>
      <c r="T32" s="676">
        <v>18076</v>
      </c>
      <c r="U32" s="654">
        <v>9347</v>
      </c>
      <c r="V32" s="447">
        <v>0.47099999999999997</v>
      </c>
      <c r="W32" s="677">
        <v>0.23</v>
      </c>
      <c r="X32" s="659">
        <f t="shared" si="1"/>
        <v>2149.81</v>
      </c>
      <c r="Y32" s="659">
        <f t="shared" si="8"/>
        <v>7197.1900000000005</v>
      </c>
    </row>
    <row r="33" spans="2:25" s="447" customFormat="1" x14ac:dyDescent="0.25">
      <c r="B33" s="678">
        <v>2003</v>
      </c>
      <c r="C33" s="679">
        <v>8093</v>
      </c>
      <c r="D33" s="680">
        <v>675</v>
      </c>
      <c r="E33" s="679">
        <v>7417</v>
      </c>
      <c r="F33" s="680">
        <v>953</v>
      </c>
      <c r="G33" s="680">
        <v>33</v>
      </c>
      <c r="H33" s="686">
        <v>5390</v>
      </c>
      <c r="I33" s="681">
        <f t="shared" si="2"/>
        <v>8.3405412084517488E-2</v>
      </c>
      <c r="J33" s="681">
        <f t="shared" si="3"/>
        <v>0.11775608550599283</v>
      </c>
      <c r="K33" s="681">
        <f t="shared" si="4"/>
        <v>0.20523909551464228</v>
      </c>
      <c r="L33" s="681">
        <f t="shared" si="5"/>
        <v>4.0775979241319659E-3</v>
      </c>
      <c r="M33" s="682">
        <f t="shared" si="7"/>
        <v>8.7483010008649456E-2</v>
      </c>
      <c r="N33" s="683">
        <f t="shared" si="6"/>
        <v>0.66600766094155439</v>
      </c>
      <c r="O33" s="685">
        <v>8.844756437188965E-2</v>
      </c>
      <c r="P33" s="685">
        <v>0.12844978270979329</v>
      </c>
      <c r="Q33" s="685">
        <v>0.21689734708168296</v>
      </c>
      <c r="R33" s="679"/>
      <c r="S33" s="679">
        <v>20208</v>
      </c>
      <c r="T33" s="676">
        <v>19200</v>
      </c>
      <c r="U33" s="654">
        <v>12429</v>
      </c>
      <c r="V33" s="447">
        <v>0.44</v>
      </c>
      <c r="W33" s="677">
        <v>0.28000000000000003</v>
      </c>
      <c r="X33" s="659">
        <f t="shared" si="1"/>
        <v>3480.1200000000003</v>
      </c>
      <c r="Y33" s="659">
        <f t="shared" si="8"/>
        <v>8948.8799999999992</v>
      </c>
    </row>
    <row r="34" spans="2:25" s="447" customFormat="1" x14ac:dyDescent="0.25">
      <c r="B34" s="678">
        <v>2004</v>
      </c>
      <c r="C34" s="679">
        <v>8174</v>
      </c>
      <c r="D34" s="680">
        <v>706</v>
      </c>
      <c r="E34" s="679">
        <v>7467</v>
      </c>
      <c r="F34" s="680">
        <v>877</v>
      </c>
      <c r="G34" s="680">
        <v>21</v>
      </c>
      <c r="H34" s="686">
        <v>7214</v>
      </c>
      <c r="I34" s="681">
        <f t="shared" si="2"/>
        <v>8.6371421580621485E-2</v>
      </c>
      <c r="J34" s="681">
        <f t="shared" si="3"/>
        <v>0.10729141179349155</v>
      </c>
      <c r="K34" s="681">
        <f t="shared" si="4"/>
        <v>0.19623195497920234</v>
      </c>
      <c r="L34" s="681">
        <f t="shared" si="5"/>
        <v>2.5691216050893074E-3</v>
      </c>
      <c r="M34" s="682">
        <f t="shared" si="7"/>
        <v>8.8940543185710791E-2</v>
      </c>
      <c r="N34" s="683">
        <f t="shared" si="6"/>
        <v>0.88255444091020308</v>
      </c>
      <c r="O34" s="685">
        <v>8.9614447470259428E-2</v>
      </c>
      <c r="P34" s="685">
        <v>0.11742704049569465</v>
      </c>
      <c r="Q34" s="685">
        <v>0.20704148796595406</v>
      </c>
      <c r="R34" s="679"/>
      <c r="S34" s="679">
        <v>22560</v>
      </c>
      <c r="T34" s="676">
        <v>21758</v>
      </c>
      <c r="U34" s="654">
        <v>15610</v>
      </c>
      <c r="V34" s="447">
        <v>0.47099999999999997</v>
      </c>
      <c r="W34" s="677">
        <v>0.39</v>
      </c>
      <c r="X34" s="659">
        <f t="shared" si="1"/>
        <v>6087.9000000000005</v>
      </c>
      <c r="Y34" s="659">
        <f t="shared" si="8"/>
        <v>9522.0999999999985</v>
      </c>
    </row>
    <row r="35" spans="2:25" s="447" customFormat="1" x14ac:dyDescent="0.25">
      <c r="B35" s="678">
        <v>2005</v>
      </c>
      <c r="C35" s="679">
        <v>9500</v>
      </c>
      <c r="D35" s="680">
        <v>779</v>
      </c>
      <c r="E35" s="679">
        <v>8721</v>
      </c>
      <c r="F35" s="679">
        <v>1434</v>
      </c>
      <c r="G35" s="680">
        <v>49</v>
      </c>
      <c r="H35" s="679">
        <v>5177</v>
      </c>
      <c r="I35" s="681">
        <f t="shared" si="2"/>
        <v>8.2000000000000003E-2</v>
      </c>
      <c r="J35" s="681">
        <f t="shared" si="3"/>
        <v>0.15094736842105264</v>
      </c>
      <c r="K35" s="681">
        <f t="shared" si="4"/>
        <v>0.23810526315789474</v>
      </c>
      <c r="L35" s="681">
        <f t="shared" si="5"/>
        <v>5.1578947368421052E-3</v>
      </c>
      <c r="M35" s="682">
        <f t="shared" si="7"/>
        <v>8.7157894736842115E-2</v>
      </c>
      <c r="N35" s="683">
        <f t="shared" si="6"/>
        <v>0.54494736842105262</v>
      </c>
      <c r="O35" s="685">
        <v>8.8398036365472638E-2</v>
      </c>
      <c r="P35" s="685">
        <v>0.16444176727107462</v>
      </c>
      <c r="Q35" s="685">
        <v>0.25283980363654723</v>
      </c>
      <c r="R35" s="679"/>
      <c r="S35" s="679">
        <v>14430</v>
      </c>
      <c r="T35" s="676">
        <v>13900</v>
      </c>
      <c r="U35" s="654">
        <v>9924</v>
      </c>
      <c r="V35" s="447">
        <v>0.54300000000000004</v>
      </c>
      <c r="W35" s="677">
        <v>0.46</v>
      </c>
      <c r="X35" s="659">
        <f t="shared" si="1"/>
        <v>4565.04</v>
      </c>
      <c r="Y35" s="659">
        <f t="shared" si="8"/>
        <v>5358.96</v>
      </c>
    </row>
    <row r="36" spans="2:25" s="447" customFormat="1" x14ac:dyDescent="0.25">
      <c r="B36" s="678">
        <v>2006</v>
      </c>
      <c r="C36" s="679">
        <v>12202</v>
      </c>
      <c r="D36" s="680">
        <v>928</v>
      </c>
      <c r="E36" s="679">
        <v>11274</v>
      </c>
      <c r="F36" s="679">
        <v>2136</v>
      </c>
      <c r="G36" s="680">
        <v>34</v>
      </c>
      <c r="H36" s="679">
        <v>4669</v>
      </c>
      <c r="I36" s="681">
        <f t="shared" si="2"/>
        <v>7.6053106048188823E-2</v>
      </c>
      <c r="J36" s="681">
        <f t="shared" si="3"/>
        <v>0.17505326995574497</v>
      </c>
      <c r="K36" s="681">
        <f t="shared" si="4"/>
        <v>0.25389280445828555</v>
      </c>
      <c r="L36" s="681">
        <f t="shared" si="5"/>
        <v>2.7864284543517455E-3</v>
      </c>
      <c r="M36" s="682">
        <f t="shared" si="7"/>
        <v>7.8839534502540567E-2</v>
      </c>
      <c r="N36" s="683">
        <f t="shared" si="6"/>
        <v>0.38264218980495002</v>
      </c>
      <c r="O36" s="685">
        <v>8.0045184252788754E-2</v>
      </c>
      <c r="P36" s="685">
        <v>0.18946134814879118</v>
      </c>
      <c r="Q36" s="685">
        <v>0.26950653240157996</v>
      </c>
      <c r="R36" s="679"/>
      <c r="S36" s="679">
        <v>14769</v>
      </c>
      <c r="T36" s="676">
        <v>13877</v>
      </c>
      <c r="U36" s="654">
        <v>6485</v>
      </c>
      <c r="V36" s="447">
        <v>0.51700000000000002</v>
      </c>
      <c r="W36" s="677">
        <v>0.61</v>
      </c>
      <c r="X36" s="659">
        <f t="shared" si="1"/>
        <v>3955.85</v>
      </c>
      <c r="Y36" s="659">
        <f t="shared" si="8"/>
        <v>2529.15</v>
      </c>
    </row>
    <row r="37" spans="2:25" s="447" customFormat="1" x14ac:dyDescent="0.25">
      <c r="B37" s="678">
        <v>2007</v>
      </c>
      <c r="C37" s="679">
        <v>9878</v>
      </c>
      <c r="D37" s="680">
        <v>567</v>
      </c>
      <c r="E37" s="679">
        <v>9311</v>
      </c>
      <c r="F37" s="679">
        <v>1492</v>
      </c>
      <c r="G37" s="680">
        <v>64</v>
      </c>
      <c r="H37" s="679">
        <v>3742</v>
      </c>
      <c r="I37" s="681">
        <f t="shared" si="2"/>
        <v>5.740028345818992E-2</v>
      </c>
      <c r="J37" s="681">
        <f t="shared" si="3"/>
        <v>0.15104272119862319</v>
      </c>
      <c r="K37" s="681">
        <f t="shared" si="4"/>
        <v>0.21492204899777284</v>
      </c>
      <c r="L37" s="681">
        <f t="shared" si="5"/>
        <v>6.4790443409597082E-3</v>
      </c>
      <c r="M37" s="682">
        <f t="shared" si="7"/>
        <v>6.3879327799149621E-2</v>
      </c>
      <c r="N37" s="683">
        <f t="shared" si="6"/>
        <v>0.37882162381048795</v>
      </c>
      <c r="O37" s="685">
        <v>6.6002280701754387E-2</v>
      </c>
      <c r="P37" s="685">
        <v>0.16021052631578947</v>
      </c>
      <c r="Q37" s="685">
        <v>0.22621280701754387</v>
      </c>
      <c r="R37" s="679"/>
      <c r="S37" s="679">
        <v>19943</v>
      </c>
      <c r="T37" s="676">
        <v>19162</v>
      </c>
      <c r="U37" s="654">
        <v>8354</v>
      </c>
      <c r="V37" s="447">
        <v>0.41699999999999998</v>
      </c>
      <c r="W37" s="677">
        <v>0.34</v>
      </c>
      <c r="X37" s="659">
        <f t="shared" si="1"/>
        <v>2840.36</v>
      </c>
      <c r="Y37" s="659">
        <f t="shared" si="8"/>
        <v>5513.6399999999994</v>
      </c>
    </row>
    <row r="38" spans="2:25" s="447" customFormat="1" x14ac:dyDescent="0.25">
      <c r="B38" s="678">
        <v>2008</v>
      </c>
      <c r="C38" s="679">
        <v>8738</v>
      </c>
      <c r="D38" s="680">
        <v>622</v>
      </c>
      <c r="E38" s="679">
        <v>8115</v>
      </c>
      <c r="F38" s="679">
        <v>1615</v>
      </c>
      <c r="G38" s="680">
        <v>30</v>
      </c>
      <c r="H38" s="679">
        <v>3930</v>
      </c>
      <c r="I38" s="681">
        <f t="shared" si="2"/>
        <v>7.1183337148088804E-2</v>
      </c>
      <c r="J38" s="681">
        <f t="shared" si="3"/>
        <v>0.18482490272373542</v>
      </c>
      <c r="K38" s="681">
        <f t="shared" si="4"/>
        <v>0.25944151979858093</v>
      </c>
      <c r="L38" s="681">
        <f t="shared" si="5"/>
        <v>3.4332799267566948E-3</v>
      </c>
      <c r="M38" s="682">
        <f t="shared" si="7"/>
        <v>7.4616617074845501E-2</v>
      </c>
      <c r="N38" s="683">
        <f t="shared" si="6"/>
        <v>0.44975967040512704</v>
      </c>
      <c r="O38" s="685">
        <v>7.6320548558129322E-2</v>
      </c>
      <c r="P38" s="685">
        <v>0.19906231784890646</v>
      </c>
      <c r="Q38" s="685">
        <v>0.27539300351137191</v>
      </c>
      <c r="R38" s="679"/>
      <c r="S38" s="679">
        <v>26856</v>
      </c>
      <c r="T38" s="676">
        <v>25507.293161899332</v>
      </c>
      <c r="U38" s="654">
        <v>11925</v>
      </c>
      <c r="V38" s="447">
        <v>0.45400000000000001</v>
      </c>
      <c r="W38" s="677">
        <v>0.25</v>
      </c>
      <c r="X38" s="659">
        <f t="shared" si="1"/>
        <v>2981.25</v>
      </c>
      <c r="Y38" s="659">
        <f t="shared" si="8"/>
        <v>8943.75</v>
      </c>
    </row>
    <row r="39" spans="2:25" s="447" customFormat="1" x14ac:dyDescent="0.25">
      <c r="B39" s="678">
        <v>2009</v>
      </c>
      <c r="C39" s="679">
        <v>15576</v>
      </c>
      <c r="D39" s="679">
        <v>1568</v>
      </c>
      <c r="E39" s="679">
        <v>14008</v>
      </c>
      <c r="F39" s="679">
        <v>3831</v>
      </c>
      <c r="G39" s="680">
        <v>53</v>
      </c>
      <c r="H39" s="679">
        <v>4977</v>
      </c>
      <c r="I39" s="681">
        <f t="shared" si="2"/>
        <v>0.10066769388803287</v>
      </c>
      <c r="J39" s="681">
        <f t="shared" si="3"/>
        <v>0.2459553158705701</v>
      </c>
      <c r="K39" s="681">
        <f t="shared" si="4"/>
        <v>0.35002568053415511</v>
      </c>
      <c r="L39" s="681">
        <f t="shared" si="5"/>
        <v>3.4026707755521316E-3</v>
      </c>
      <c r="M39" s="682">
        <f t="shared" si="7"/>
        <v>0.104070364663585</v>
      </c>
      <c r="N39" s="683">
        <f t="shared" si="6"/>
        <v>0.31953004622496151</v>
      </c>
      <c r="O39" s="685">
        <v>0.10592916682382228</v>
      </c>
      <c r="P39" s="685">
        <v>0.27349319201900957</v>
      </c>
      <c r="Q39" s="685">
        <v>0.37943178817938372</v>
      </c>
      <c r="R39" s="679"/>
      <c r="S39" s="679">
        <v>56409</v>
      </c>
      <c r="T39" s="676">
        <v>52522</v>
      </c>
      <c r="U39" s="654">
        <v>20685</v>
      </c>
      <c r="V39" s="447">
        <v>0.52</v>
      </c>
      <c r="W39" s="677">
        <v>0.21</v>
      </c>
      <c r="X39" s="659">
        <f t="shared" si="1"/>
        <v>4343.8499999999995</v>
      </c>
      <c r="Y39" s="659">
        <f t="shared" si="8"/>
        <v>16341.150000000001</v>
      </c>
    </row>
    <row r="40" spans="2:25" s="447" customFormat="1" x14ac:dyDescent="0.25">
      <c r="B40" s="678">
        <v>2010</v>
      </c>
      <c r="C40" s="679">
        <v>12855</v>
      </c>
      <c r="D40" s="680">
        <v>971</v>
      </c>
      <c r="E40" s="679">
        <v>11884</v>
      </c>
      <c r="F40" s="679">
        <v>2141</v>
      </c>
      <c r="G40" s="680">
        <v>34</v>
      </c>
      <c r="H40" s="679">
        <v>7995</v>
      </c>
      <c r="I40" s="681">
        <f t="shared" si="2"/>
        <v>7.5534811357448467E-2</v>
      </c>
      <c r="J40" s="681">
        <f t="shared" si="3"/>
        <v>0.16654998055231426</v>
      </c>
      <c r="K40" s="681">
        <f t="shared" si="4"/>
        <v>0.24472967716841695</v>
      </c>
      <c r="L40" s="681">
        <f t="shared" si="5"/>
        <v>2.64488525865422E-3</v>
      </c>
      <c r="M40" s="682">
        <f t="shared" si="7"/>
        <v>7.817969661610269E-2</v>
      </c>
      <c r="N40" s="683">
        <f t="shared" si="6"/>
        <v>0.62193698949824971</v>
      </c>
      <c r="O40" s="685">
        <v>7.9502505324584194E-2</v>
      </c>
      <c r="P40" s="685">
        <v>0.18018946901892227</v>
      </c>
      <c r="Q40" s="685">
        <v>0.2596981299321654</v>
      </c>
      <c r="R40" s="679"/>
      <c r="S40" s="679">
        <v>54710</v>
      </c>
      <c r="T40" s="676">
        <v>52638</v>
      </c>
      <c r="U40" s="654">
        <v>39764</v>
      </c>
      <c r="V40" s="447">
        <v>0.439</v>
      </c>
      <c r="W40" s="677">
        <v>0.19</v>
      </c>
      <c r="X40" s="659">
        <f t="shared" si="1"/>
        <v>7555.16</v>
      </c>
      <c r="Y40" s="659">
        <f t="shared" si="8"/>
        <v>32208.84</v>
      </c>
    </row>
    <row r="41" spans="2:25" s="447" customFormat="1" x14ac:dyDescent="0.25">
      <c r="B41" s="678">
        <v>2011</v>
      </c>
      <c r="C41" s="679">
        <v>17156</v>
      </c>
      <c r="D41" s="679">
        <v>2228</v>
      </c>
      <c r="E41" s="679">
        <v>14928</v>
      </c>
      <c r="F41" s="679">
        <v>2918</v>
      </c>
      <c r="G41" s="680">
        <v>53</v>
      </c>
      <c r="H41" s="679">
        <v>8778</v>
      </c>
      <c r="I41" s="681">
        <f t="shared" si="2"/>
        <v>0.12986710188855211</v>
      </c>
      <c r="J41" s="681">
        <f t="shared" si="3"/>
        <v>0.17008626719515038</v>
      </c>
      <c r="K41" s="681">
        <f t="shared" si="4"/>
        <v>0.30304266728841223</v>
      </c>
      <c r="L41" s="681">
        <f t="shared" si="5"/>
        <v>3.0892982047097226E-3</v>
      </c>
      <c r="M41" s="682">
        <f t="shared" si="7"/>
        <v>0.13295640009326182</v>
      </c>
      <c r="N41" s="683">
        <f t="shared" si="6"/>
        <v>0.51165772907437634</v>
      </c>
      <c r="O41" s="685">
        <v>0.13402494007178964</v>
      </c>
      <c r="P41" s="685">
        <v>0.19547464384633537</v>
      </c>
      <c r="Q41" s="685">
        <v>0.32949958391812501</v>
      </c>
      <c r="R41" s="679"/>
      <c r="S41" s="679">
        <v>44903</v>
      </c>
      <c r="T41" s="676">
        <v>43151</v>
      </c>
      <c r="U41" s="654">
        <v>23580</v>
      </c>
      <c r="V41" s="447">
        <v>0.45400000000000001</v>
      </c>
      <c r="W41" s="677">
        <v>0.34</v>
      </c>
      <c r="X41" s="659">
        <f t="shared" si="1"/>
        <v>8017.2000000000007</v>
      </c>
      <c r="Y41" s="659">
        <f t="shared" si="8"/>
        <v>15562.8</v>
      </c>
    </row>
    <row r="42" spans="2:25" s="447" customFormat="1" x14ac:dyDescent="0.25">
      <c r="B42" s="678">
        <v>2012</v>
      </c>
      <c r="C42" s="679">
        <v>19360</v>
      </c>
      <c r="D42" s="679">
        <v>2641</v>
      </c>
      <c r="E42" s="679">
        <v>16719</v>
      </c>
      <c r="F42" s="679">
        <v>3433</v>
      </c>
      <c r="G42" s="680">
        <v>61</v>
      </c>
      <c r="H42" s="679">
        <v>12797</v>
      </c>
      <c r="I42" s="681">
        <f t="shared" si="2"/>
        <v>0.13641528925619834</v>
      </c>
      <c r="J42" s="681">
        <f t="shared" si="3"/>
        <v>0.17732438016528926</v>
      </c>
      <c r="K42" s="681">
        <f t="shared" si="4"/>
        <v>0.31689049586776857</v>
      </c>
      <c r="L42" s="681">
        <f t="shared" si="5"/>
        <v>3.1508264462809916E-3</v>
      </c>
      <c r="M42" s="682">
        <f t="shared" si="7"/>
        <v>0.13956611570247932</v>
      </c>
      <c r="N42" s="683">
        <f t="shared" si="6"/>
        <v>0.66100206611570245</v>
      </c>
      <c r="O42" s="685">
        <v>0.14215699529500839</v>
      </c>
      <c r="P42" s="685">
        <v>0.20532285976961764</v>
      </c>
      <c r="Q42" s="685">
        <v>0.34747985506462603</v>
      </c>
      <c r="R42" s="679"/>
      <c r="S42" s="679">
        <v>56678</v>
      </c>
      <c r="T42" s="676">
        <v>55265</v>
      </c>
      <c r="U42" s="654">
        <v>30363</v>
      </c>
      <c r="V42" s="447">
        <v>0.498</v>
      </c>
      <c r="W42" s="677">
        <v>0.37</v>
      </c>
      <c r="X42" s="659">
        <f t="shared" si="1"/>
        <v>11234.31</v>
      </c>
      <c r="Y42" s="659">
        <f t="shared" si="8"/>
        <v>19128.690000000002</v>
      </c>
    </row>
    <row r="43" spans="2:25" s="447" customFormat="1" x14ac:dyDescent="0.25">
      <c r="B43" s="678">
        <v>2013</v>
      </c>
      <c r="C43" s="679">
        <v>34669</v>
      </c>
      <c r="D43" s="679">
        <v>3462</v>
      </c>
      <c r="E43" s="679">
        <v>31208</v>
      </c>
      <c r="F43" s="679">
        <v>6429</v>
      </c>
      <c r="G43" s="680">
        <v>141</v>
      </c>
      <c r="H43" s="612">
        <v>20829</v>
      </c>
      <c r="I43" s="681">
        <f t="shared" si="2"/>
        <v>9.9858663359196978E-2</v>
      </c>
      <c r="J43" s="681">
        <f t="shared" si="3"/>
        <v>0.18543944157604778</v>
      </c>
      <c r="K43" s="681">
        <f t="shared" si="4"/>
        <v>0.28936513888488274</v>
      </c>
      <c r="L43" s="681">
        <f t="shared" si="5"/>
        <v>4.0670339496380048E-3</v>
      </c>
      <c r="M43" s="682">
        <f t="shared" si="7"/>
        <v>0.10392569730883498</v>
      </c>
      <c r="N43" s="683">
        <f t="shared" si="6"/>
        <v>0.60079610026248231</v>
      </c>
      <c r="O43" s="685">
        <v>0.10584718708464201</v>
      </c>
      <c r="P43" s="685">
        <v>0.20704985145786997</v>
      </c>
      <c r="Q43" s="685">
        <v>0.312897038542512</v>
      </c>
      <c r="R43" s="679"/>
      <c r="S43" s="679">
        <v>78960</v>
      </c>
      <c r="T43" s="676">
        <v>75835</v>
      </c>
      <c r="U43" s="654">
        <v>51239</v>
      </c>
      <c r="V43" s="447">
        <v>0.47599999999999998</v>
      </c>
      <c r="W43" s="677">
        <v>0.4</v>
      </c>
      <c r="X43" s="659">
        <f t="shared" si="1"/>
        <v>20495.600000000002</v>
      </c>
      <c r="Y43" s="659">
        <f t="shared" si="8"/>
        <v>30743.399999999998</v>
      </c>
    </row>
    <row r="44" spans="2:25" s="447" customFormat="1" x14ac:dyDescent="0.25">
      <c r="B44" s="678">
        <v>2014</v>
      </c>
      <c r="C44" s="679">
        <v>20752</v>
      </c>
      <c r="D44" s="679">
        <v>2484</v>
      </c>
      <c r="E44" s="679">
        <v>18268</v>
      </c>
      <c r="F44" s="679">
        <v>4096</v>
      </c>
      <c r="G44" s="680">
        <v>32</v>
      </c>
      <c r="H44" s="612">
        <v>13032</v>
      </c>
      <c r="I44" s="681">
        <f t="shared" si="2"/>
        <v>0.11969930609097919</v>
      </c>
      <c r="J44" s="681">
        <f t="shared" si="3"/>
        <v>0.19737856592135697</v>
      </c>
      <c r="K44" s="681">
        <f t="shared" si="4"/>
        <v>0.31861989205859675</v>
      </c>
      <c r="L44" s="681">
        <f t="shared" si="5"/>
        <v>1.5420200462606013E-3</v>
      </c>
      <c r="M44" s="682">
        <f t="shared" si="7"/>
        <v>0.12124132613723979</v>
      </c>
      <c r="N44" s="683">
        <f t="shared" si="6"/>
        <v>0.62798766383962989</v>
      </c>
      <c r="O44" s="685">
        <v>0.12229897505851282</v>
      </c>
      <c r="P44" s="685">
        <v>0.22371672330927631</v>
      </c>
      <c r="Q44" s="685">
        <v>0.34601569836778912</v>
      </c>
      <c r="R44" s="679"/>
      <c r="S44" s="679">
        <v>80494</v>
      </c>
      <c r="T44" s="676">
        <v>73690</v>
      </c>
      <c r="U44" s="654">
        <v>52989</v>
      </c>
      <c r="V44" s="447">
        <v>0.47599999999999998</v>
      </c>
      <c r="W44" s="677">
        <v>0.25</v>
      </c>
      <c r="X44" s="659">
        <f>U44*W44</f>
        <v>13247.25</v>
      </c>
      <c r="Y44" s="659">
        <f t="shared" si="8"/>
        <v>39741.75</v>
      </c>
    </row>
    <row r="45" spans="2:25" s="447" customFormat="1" x14ac:dyDescent="0.25">
      <c r="B45" s="678">
        <v>2015</v>
      </c>
      <c r="C45" s="679">
        <v>24054</v>
      </c>
      <c r="D45" s="679">
        <v>2530</v>
      </c>
      <c r="E45" s="679">
        <v>21523</v>
      </c>
      <c r="F45" s="679">
        <v>4319</v>
      </c>
      <c r="G45" s="680">
        <v>87</v>
      </c>
      <c r="H45" s="612">
        <v>15773</v>
      </c>
      <c r="I45" s="681">
        <f>D45/C45</f>
        <v>0.10518001164047559</v>
      </c>
      <c r="J45" s="681">
        <f t="shared" si="3"/>
        <v>0.17955433607715973</v>
      </c>
      <c r="K45" s="681">
        <f t="shared" si="4"/>
        <v>0.2883512097779995</v>
      </c>
      <c r="L45" s="681">
        <f t="shared" si="5"/>
        <v>3.6168620603641804E-3</v>
      </c>
      <c r="M45" s="682">
        <f t="shared" si="7"/>
        <v>0.10879687370083978</v>
      </c>
      <c r="N45" s="683">
        <f>H45/C45</f>
        <v>0.65573293423131285</v>
      </c>
      <c r="O45" s="685">
        <v>0.11210000000000001</v>
      </c>
      <c r="P45" s="685">
        <v>0.20119999999999999</v>
      </c>
      <c r="Q45" s="685">
        <v>0.31330000000000002</v>
      </c>
      <c r="R45" s="679"/>
      <c r="S45" s="679">
        <v>70827</v>
      </c>
      <c r="T45" s="676">
        <v>65726</v>
      </c>
      <c r="U45" s="654">
        <v>58363</v>
      </c>
      <c r="W45" s="687">
        <f>X45/U45</f>
        <v>0.27777872967462264</v>
      </c>
      <c r="X45" s="688">
        <v>16212</v>
      </c>
      <c r="Y45" s="688">
        <v>42151</v>
      </c>
    </row>
    <row r="46" spans="2:25" s="447" customFormat="1" x14ac:dyDescent="0.25">
      <c r="B46" s="678">
        <v>2016</v>
      </c>
      <c r="C46" s="679">
        <v>14493</v>
      </c>
      <c r="D46" s="679">
        <v>2023</v>
      </c>
      <c r="E46" s="679">
        <v>12568</v>
      </c>
      <c r="F46" s="679">
        <v>2907</v>
      </c>
      <c r="G46" s="680">
        <v>96</v>
      </c>
      <c r="H46" s="612">
        <v>9741</v>
      </c>
      <c r="I46" s="681">
        <f t="shared" si="2"/>
        <v>0.13958462706133995</v>
      </c>
      <c r="J46" s="681">
        <f t="shared" si="3"/>
        <v>0.2005795901469675</v>
      </c>
      <c r="K46" s="681">
        <f t="shared" si="4"/>
        <v>0.34678810460222176</v>
      </c>
      <c r="L46" s="681">
        <f t="shared" si="5"/>
        <v>6.6238873939143033E-3</v>
      </c>
      <c r="M46" s="682">
        <f t="shared" si="7"/>
        <v>0.14620851445525426</v>
      </c>
      <c r="N46" s="683">
        <f t="shared" si="6"/>
        <v>0.67211757400124195</v>
      </c>
      <c r="O46" s="684"/>
      <c r="P46" s="684"/>
      <c r="Q46" s="684"/>
      <c r="R46" s="679"/>
      <c r="S46" s="679">
        <v>47080</v>
      </c>
      <c r="T46" s="676">
        <v>42062</v>
      </c>
      <c r="U46" s="654"/>
      <c r="X46" s="659">
        <f>H46</f>
        <v>9741</v>
      </c>
    </row>
    <row r="47" spans="2:25" s="447" customFormat="1" x14ac:dyDescent="0.25">
      <c r="B47" s="678">
        <v>2017</v>
      </c>
      <c r="C47" s="679"/>
      <c r="D47" s="679"/>
      <c r="E47" s="679"/>
      <c r="F47" s="679"/>
      <c r="G47" s="680"/>
      <c r="H47" s="679"/>
      <c r="I47" s="689"/>
      <c r="J47" s="689"/>
      <c r="K47" s="689"/>
      <c r="L47" s="689"/>
      <c r="M47" s="689"/>
      <c r="N47" s="690"/>
      <c r="O47" s="691"/>
      <c r="P47" s="691"/>
      <c r="Q47" s="691"/>
      <c r="R47" s="679"/>
      <c r="S47" s="679">
        <v>33127</v>
      </c>
      <c r="T47" s="676">
        <v>28586</v>
      </c>
      <c r="U47" s="654"/>
      <c r="X47" s="659"/>
    </row>
    <row r="48" spans="2:25" s="420" customFormat="1" x14ac:dyDescent="0.25">
      <c r="B48" s="678"/>
      <c r="C48" s="679"/>
      <c r="D48" s="679">
        <f>AVERAGE(D36:D47)</f>
        <v>1820.3636363636363</v>
      </c>
      <c r="E48" s="679"/>
      <c r="F48" s="679"/>
      <c r="G48" s="680"/>
      <c r="H48" s="679"/>
      <c r="I48" s="681">
        <f>AVERAGE(I37:I46)</f>
        <v>0.10353911251485023</v>
      </c>
      <c r="J48" s="681">
        <f t="shared" ref="J48:N48" si="9">AVERAGE(J37:J46)</f>
        <v>0.18587355014272147</v>
      </c>
      <c r="K48" s="689"/>
      <c r="L48" s="681">
        <f t="shared" si="9"/>
        <v>3.8049808403090558E-3</v>
      </c>
      <c r="M48" s="681">
        <f t="shared" si="9"/>
        <v>0.10734409335515926</v>
      </c>
      <c r="N48" s="683">
        <f t="shared" si="9"/>
        <v>0.54993423974635725</v>
      </c>
      <c r="O48" s="684"/>
      <c r="P48" s="684"/>
      <c r="Q48" s="684">
        <f>AVERAGE(Q36:Q45)</f>
        <v>0.30594344369350968</v>
      </c>
      <c r="R48" s="679"/>
      <c r="S48" s="679"/>
      <c r="T48" s="692"/>
      <c r="U48" s="692"/>
      <c r="X48" s="452">
        <f>GEOMEAN(X35:X45)</f>
        <v>7003.9402515986449</v>
      </c>
      <c r="Y48" s="452">
        <f>GEOMEAN(Y35:Y45)</f>
        <v>14369.477042133831</v>
      </c>
    </row>
    <row r="49" spans="2:48" s="420" customFormat="1" x14ac:dyDescent="0.25">
      <c r="B49" s="693" t="s">
        <v>467</v>
      </c>
      <c r="C49" s="692"/>
      <c r="D49" s="692"/>
      <c r="E49" s="692"/>
      <c r="F49" s="692"/>
      <c r="G49" s="692"/>
      <c r="H49" s="692"/>
      <c r="I49" s="694"/>
      <c r="J49" s="694"/>
      <c r="K49" s="694"/>
      <c r="L49" s="694"/>
      <c r="M49" s="694"/>
      <c r="N49" s="695"/>
      <c r="O49" s="696"/>
      <c r="P49" s="696"/>
      <c r="Q49" s="696"/>
      <c r="R49" s="692"/>
      <c r="S49" s="692"/>
      <c r="T49" s="692"/>
      <c r="U49" s="692"/>
      <c r="X49" s="452"/>
    </row>
    <row r="50" spans="2:48" s="420" customFormat="1" x14ac:dyDescent="0.25">
      <c r="B50" s="693" t="s">
        <v>468</v>
      </c>
      <c r="C50" s="692"/>
      <c r="D50" s="692"/>
      <c r="E50" s="692"/>
      <c r="F50" s="692"/>
      <c r="G50" s="692"/>
      <c r="H50" s="692"/>
      <c r="I50" s="694"/>
      <c r="J50" s="694"/>
      <c r="K50" s="694"/>
      <c r="L50" s="694"/>
      <c r="M50" s="694"/>
      <c r="N50" s="695"/>
      <c r="O50" s="696"/>
      <c r="P50" s="696"/>
      <c r="Q50" s="696"/>
      <c r="R50" s="692"/>
      <c r="S50" s="692"/>
      <c r="T50" s="692"/>
      <c r="U50" s="692"/>
      <c r="X50" s="452"/>
    </row>
    <row r="52" spans="2:48" x14ac:dyDescent="0.25">
      <c r="D52" s="697" t="s">
        <v>469</v>
      </c>
      <c r="I52" s="698" t="s">
        <v>470</v>
      </c>
      <c r="J52" s="699"/>
      <c r="K52" s="700"/>
      <c r="L52" s="699"/>
      <c r="M52" s="699"/>
      <c r="N52" s="700"/>
      <c r="O52" s="701"/>
      <c r="P52" s="523"/>
      <c r="Q52" s="523"/>
      <c r="R52" s="523"/>
      <c r="S52" s="523"/>
      <c r="T52" s="702" t="s">
        <v>471</v>
      </c>
      <c r="U52" s="523"/>
      <c r="V52" s="523"/>
    </row>
    <row r="53" spans="2:48" ht="15.75" thickBot="1" x14ac:dyDescent="0.3">
      <c r="D53" s="697" t="s">
        <v>472</v>
      </c>
      <c r="I53" s="704">
        <f>GEOMEAN(I42:I46)</f>
        <v>0.11907545425030822</v>
      </c>
      <c r="J53" s="705"/>
      <c r="K53" s="706">
        <f>GEOMEAN(K42:K46)</f>
        <v>0.31125967219274381</v>
      </c>
      <c r="L53" s="706"/>
      <c r="M53" s="706"/>
      <c r="N53" s="706">
        <f>GEOMEAN(N42:N46)</f>
        <v>0.64299953147942435</v>
      </c>
      <c r="O53" s="707"/>
      <c r="P53" s="523"/>
      <c r="Q53" s="523"/>
      <c r="R53" s="523"/>
      <c r="S53" s="523"/>
      <c r="T53" s="523" t="s">
        <v>473</v>
      </c>
      <c r="U53" s="523"/>
      <c r="V53" s="523"/>
    </row>
    <row r="54" spans="2:48" ht="15.75" thickBot="1" x14ac:dyDescent="0.3">
      <c r="I54" s="708" t="s">
        <v>474</v>
      </c>
      <c r="J54" s="709"/>
      <c r="K54" s="709"/>
      <c r="L54" s="709"/>
      <c r="M54" s="709"/>
      <c r="N54" s="710"/>
      <c r="O54" s="707"/>
      <c r="P54" s="523"/>
      <c r="Q54" s="523"/>
      <c r="R54" s="523"/>
      <c r="S54" s="523"/>
      <c r="U54" s="523"/>
      <c r="V54" s="523"/>
      <c r="Z54" s="953" t="s">
        <v>475</v>
      </c>
      <c r="AA54" s="954"/>
      <c r="AB54" s="954"/>
      <c r="AC54" s="954"/>
      <c r="AD54" s="955"/>
    </row>
    <row r="55" spans="2:48" ht="15.75" thickBot="1" x14ac:dyDescent="0.3">
      <c r="I55" s="708"/>
      <c r="J55" s="709"/>
      <c r="K55" s="709"/>
      <c r="L55" s="709"/>
      <c r="M55" s="709"/>
      <c r="N55" s="710"/>
      <c r="O55" s="707"/>
      <c r="P55" s="523"/>
      <c r="Q55" s="523"/>
      <c r="R55" s="523"/>
      <c r="S55" s="523"/>
      <c r="T55" s="523"/>
      <c r="U55" s="959" t="s">
        <v>476</v>
      </c>
      <c r="V55" s="960"/>
      <c r="W55" s="960"/>
      <c r="X55" s="961"/>
      <c r="Y55" s="711"/>
      <c r="Z55" s="956"/>
      <c r="AA55" s="957"/>
      <c r="AB55" s="957"/>
      <c r="AC55" s="957"/>
      <c r="AD55" s="958"/>
      <c r="AH55" s="959" t="s">
        <v>477</v>
      </c>
      <c r="AI55" s="960"/>
      <c r="AJ55" s="960"/>
      <c r="AK55" s="960"/>
      <c r="AL55" s="961"/>
      <c r="AM55" s="959" t="s">
        <v>478</v>
      </c>
      <c r="AN55" s="960"/>
      <c r="AO55" s="960"/>
      <c r="AP55" s="961"/>
      <c r="AQ55" s="962" t="s">
        <v>479</v>
      </c>
      <c r="AR55" s="963"/>
      <c r="AS55" s="963"/>
      <c r="AT55" s="963"/>
      <c r="AU55" s="963"/>
      <c r="AV55" s="964"/>
    </row>
    <row r="56" spans="2:48" ht="45" x14ac:dyDescent="0.25">
      <c r="I56" s="708" t="s">
        <v>480</v>
      </c>
      <c r="J56" s="709"/>
      <c r="K56" s="709"/>
      <c r="L56" s="709"/>
      <c r="M56" s="709"/>
      <c r="N56" s="710"/>
      <c r="O56" s="707"/>
      <c r="P56" s="523"/>
      <c r="Q56" s="523"/>
      <c r="R56" s="523"/>
      <c r="S56" s="523"/>
      <c r="T56" s="712" t="s">
        <v>167</v>
      </c>
      <c r="U56" s="712" t="s">
        <v>481</v>
      </c>
      <c r="V56" s="712" t="s">
        <v>482</v>
      </c>
      <c r="W56" s="712" t="s">
        <v>483</v>
      </c>
      <c r="X56" s="712" t="s">
        <v>484</v>
      </c>
      <c r="Y56" s="712"/>
      <c r="Z56" s="712" t="s">
        <v>481</v>
      </c>
      <c r="AA56" s="712" t="s">
        <v>482</v>
      </c>
      <c r="AB56" s="712" t="s">
        <v>483</v>
      </c>
      <c r="AC56" s="712" t="s">
        <v>484</v>
      </c>
      <c r="AD56" s="712" t="s">
        <v>39</v>
      </c>
      <c r="AE56" s="712" t="s">
        <v>485</v>
      </c>
      <c r="AF56" s="712" t="s">
        <v>486</v>
      </c>
      <c r="AG56" s="712" t="s">
        <v>487</v>
      </c>
      <c r="AH56" s="712" t="s">
        <v>488</v>
      </c>
      <c r="AI56" s="712" t="s">
        <v>489</v>
      </c>
      <c r="AJ56" s="712" t="s">
        <v>490</v>
      </c>
      <c r="AK56" s="712" t="s">
        <v>491</v>
      </c>
      <c r="AL56" s="712" t="s">
        <v>492</v>
      </c>
      <c r="AM56" s="712" t="s">
        <v>493</v>
      </c>
      <c r="AN56" s="712" t="s">
        <v>494</v>
      </c>
      <c r="AO56" s="712" t="s">
        <v>495</v>
      </c>
      <c r="AP56" s="712" t="s">
        <v>496</v>
      </c>
      <c r="AQ56" s="713" t="s">
        <v>497</v>
      </c>
      <c r="AR56" s="712" t="s">
        <v>498</v>
      </c>
      <c r="AS56" s="712" t="s">
        <v>499</v>
      </c>
      <c r="AT56" s="712" t="s">
        <v>500</v>
      </c>
      <c r="AU56" s="712" t="s">
        <v>501</v>
      </c>
      <c r="AV56" s="712" t="s">
        <v>502</v>
      </c>
    </row>
    <row r="57" spans="2:48" x14ac:dyDescent="0.25">
      <c r="I57" s="708" t="s">
        <v>503</v>
      </c>
      <c r="J57" s="709"/>
      <c r="K57" s="709"/>
      <c r="L57" s="709"/>
      <c r="M57" s="709"/>
      <c r="N57" s="710"/>
      <c r="O57" s="707"/>
      <c r="P57" s="523"/>
      <c r="Q57" s="523"/>
      <c r="R57" s="523"/>
      <c r="S57" s="523"/>
      <c r="T57" s="714">
        <v>1994</v>
      </c>
      <c r="U57" s="715">
        <v>385</v>
      </c>
      <c r="V57" s="715">
        <v>177</v>
      </c>
      <c r="W57" s="716">
        <v>406</v>
      </c>
      <c r="X57" s="715">
        <v>78</v>
      </c>
      <c r="Y57" s="714"/>
      <c r="Z57" s="717">
        <v>205</v>
      </c>
      <c r="AA57" s="717">
        <v>32</v>
      </c>
      <c r="AB57" s="717">
        <v>406</v>
      </c>
      <c r="AC57" s="717">
        <v>78</v>
      </c>
      <c r="AD57" s="717">
        <v>721</v>
      </c>
      <c r="AE57" s="718">
        <v>0.3355155482815057</v>
      </c>
      <c r="AF57" s="718">
        <v>0.3287101248266297</v>
      </c>
      <c r="AG57" s="719" t="s">
        <v>504</v>
      </c>
      <c r="AH57" s="719">
        <v>0</v>
      </c>
      <c r="AI57" s="719">
        <v>0</v>
      </c>
      <c r="AJ57" s="719">
        <v>0</v>
      </c>
      <c r="AK57" s="719">
        <v>0</v>
      </c>
      <c r="AL57" s="719"/>
      <c r="AM57" s="719"/>
      <c r="AN57" s="719"/>
      <c r="AO57" s="719"/>
      <c r="AP57" s="719"/>
      <c r="AQ57" s="720">
        <v>205</v>
      </c>
      <c r="AR57" s="721">
        <v>32</v>
      </c>
      <c r="AS57" s="721">
        <v>406</v>
      </c>
      <c r="AT57" s="719">
        <v>78</v>
      </c>
      <c r="AU57" s="721">
        <v>611</v>
      </c>
      <c r="AV57" s="721">
        <v>721</v>
      </c>
    </row>
    <row r="58" spans="2:48" x14ac:dyDescent="0.25">
      <c r="I58" s="722" t="s">
        <v>505</v>
      </c>
      <c r="J58" s="706">
        <f>0.59*(1-I53)</f>
        <v>0.51974548199231818</v>
      </c>
      <c r="K58" s="709"/>
      <c r="L58" s="706"/>
      <c r="M58" s="706"/>
      <c r="N58" s="710"/>
      <c r="O58" s="707"/>
      <c r="P58" s="523"/>
      <c r="Q58" s="523"/>
      <c r="R58" s="523"/>
      <c r="S58" s="523"/>
      <c r="T58" s="714">
        <v>1995</v>
      </c>
      <c r="U58" s="715">
        <v>717</v>
      </c>
      <c r="V58" s="715">
        <v>279</v>
      </c>
      <c r="W58" s="716">
        <v>350</v>
      </c>
      <c r="X58" s="715">
        <v>29</v>
      </c>
      <c r="Y58" s="714"/>
      <c r="Z58" s="717">
        <v>322</v>
      </c>
      <c r="AA58" s="717">
        <v>0</v>
      </c>
      <c r="AB58" s="717">
        <v>350</v>
      </c>
      <c r="AC58" s="717">
        <v>29</v>
      </c>
      <c r="AD58" s="717">
        <v>701</v>
      </c>
      <c r="AE58" s="718">
        <v>0.47916666666666669</v>
      </c>
      <c r="AF58" s="718">
        <v>0.45934379457917263</v>
      </c>
      <c r="AG58" s="719" t="s">
        <v>504</v>
      </c>
      <c r="AH58" s="719">
        <v>0</v>
      </c>
      <c r="AI58" s="719">
        <v>0</v>
      </c>
      <c r="AJ58" s="719">
        <v>0</v>
      </c>
      <c r="AK58" s="719">
        <v>0</v>
      </c>
      <c r="AL58" s="719"/>
      <c r="AM58" s="719"/>
      <c r="AN58" s="719"/>
      <c r="AO58" s="719"/>
      <c r="AP58" s="719"/>
      <c r="AQ58" s="720">
        <v>322</v>
      </c>
      <c r="AR58" s="721">
        <v>0</v>
      </c>
      <c r="AS58" s="721">
        <v>350</v>
      </c>
      <c r="AT58" s="719">
        <v>29</v>
      </c>
      <c r="AU58" s="721">
        <v>672</v>
      </c>
      <c r="AV58" s="721">
        <v>701</v>
      </c>
    </row>
    <row r="59" spans="2:48" x14ac:dyDescent="0.25">
      <c r="I59" s="723" t="s">
        <v>506</v>
      </c>
      <c r="J59" s="724">
        <f>0.91*(1-K53)</f>
        <v>0.62675369830460315</v>
      </c>
      <c r="K59" s="725"/>
      <c r="L59" s="726" t="s">
        <v>507</v>
      </c>
      <c r="M59" s="727"/>
      <c r="N59" s="726"/>
      <c r="O59" s="728"/>
      <c r="P59" s="523"/>
      <c r="Q59" s="523"/>
      <c r="S59" s="523"/>
      <c r="T59" s="714">
        <v>1996</v>
      </c>
      <c r="U59" s="715">
        <v>669</v>
      </c>
      <c r="V59" s="715">
        <v>223</v>
      </c>
      <c r="W59" s="716">
        <v>639</v>
      </c>
      <c r="X59" s="715">
        <v>201</v>
      </c>
      <c r="Y59" s="714"/>
      <c r="Z59" s="719">
        <v>280</v>
      </c>
      <c r="AA59" s="719">
        <v>167</v>
      </c>
      <c r="AB59" s="719">
        <v>639</v>
      </c>
      <c r="AC59" s="719">
        <v>201</v>
      </c>
      <c r="AD59" s="719">
        <v>1287</v>
      </c>
      <c r="AE59" s="718">
        <v>0.30467899891186073</v>
      </c>
      <c r="AF59" s="718">
        <v>0.34731934731934733</v>
      </c>
      <c r="AG59" s="719" t="s">
        <v>508</v>
      </c>
      <c r="AH59" s="719">
        <v>0</v>
      </c>
      <c r="AI59" s="719">
        <v>0</v>
      </c>
      <c r="AJ59" s="719">
        <v>0</v>
      </c>
      <c r="AK59" s="719">
        <v>0</v>
      </c>
      <c r="AL59" s="719"/>
      <c r="AM59" s="719"/>
      <c r="AN59" s="719"/>
      <c r="AO59" s="719"/>
      <c r="AP59" s="719"/>
      <c r="AQ59" s="720">
        <v>280</v>
      </c>
      <c r="AR59" s="721">
        <v>167</v>
      </c>
      <c r="AS59" s="721">
        <v>639</v>
      </c>
      <c r="AT59" s="719">
        <v>201</v>
      </c>
      <c r="AU59" s="721">
        <v>919</v>
      </c>
      <c r="AV59" s="721">
        <v>1287</v>
      </c>
    </row>
    <row r="60" spans="2:48" x14ac:dyDescent="0.25">
      <c r="T60" s="714">
        <v>1997</v>
      </c>
      <c r="U60" s="715">
        <v>655</v>
      </c>
      <c r="V60" s="715">
        <v>479</v>
      </c>
      <c r="W60" s="451">
        <v>796</v>
      </c>
      <c r="X60" s="715">
        <v>25</v>
      </c>
      <c r="Y60" s="714"/>
      <c r="Z60" s="719">
        <v>21</v>
      </c>
      <c r="AA60" s="719">
        <v>254</v>
      </c>
      <c r="AB60" s="719">
        <v>1013</v>
      </c>
      <c r="AC60" s="719">
        <v>25</v>
      </c>
      <c r="AD60" s="719">
        <v>1313</v>
      </c>
      <c r="AE60" s="718">
        <v>2.0309477756286266E-2</v>
      </c>
      <c r="AF60" s="718">
        <v>0.20944402132520945</v>
      </c>
      <c r="AG60" s="719" t="s">
        <v>504</v>
      </c>
      <c r="AH60" s="719">
        <v>0</v>
      </c>
      <c r="AI60" s="719">
        <v>0</v>
      </c>
      <c r="AJ60" s="719">
        <v>0</v>
      </c>
      <c r="AK60" s="719">
        <v>0</v>
      </c>
      <c r="AL60" s="719"/>
      <c r="AM60" s="719"/>
      <c r="AN60" s="719"/>
      <c r="AO60" s="719"/>
      <c r="AP60" s="719"/>
      <c r="AQ60" s="720">
        <v>21</v>
      </c>
      <c r="AR60" s="721">
        <v>254</v>
      </c>
      <c r="AS60" s="721">
        <v>1013</v>
      </c>
      <c r="AT60" s="719">
        <v>25</v>
      </c>
      <c r="AU60" s="721">
        <v>1034</v>
      </c>
      <c r="AV60" s="721">
        <v>1313</v>
      </c>
    </row>
    <row r="61" spans="2:48" x14ac:dyDescent="0.25">
      <c r="T61" s="714">
        <v>1998</v>
      </c>
      <c r="U61" s="715">
        <v>1603</v>
      </c>
      <c r="V61" s="715">
        <v>1681</v>
      </c>
      <c r="W61" s="451">
        <v>306</v>
      </c>
      <c r="X61" s="715">
        <v>321</v>
      </c>
      <c r="Y61" s="714"/>
      <c r="Z61" s="719">
        <v>729</v>
      </c>
      <c r="AA61" s="719">
        <v>976</v>
      </c>
      <c r="AB61" s="719">
        <v>306</v>
      </c>
      <c r="AC61" s="719">
        <v>321</v>
      </c>
      <c r="AD61" s="719">
        <v>2332</v>
      </c>
      <c r="AE61" s="718">
        <v>0.70434782608695656</v>
      </c>
      <c r="AF61" s="718">
        <v>0.73113207547169812</v>
      </c>
      <c r="AG61" s="719" t="s">
        <v>504</v>
      </c>
      <c r="AH61" s="719">
        <v>0</v>
      </c>
      <c r="AI61" s="719">
        <v>0</v>
      </c>
      <c r="AJ61" s="719">
        <v>0</v>
      </c>
      <c r="AK61" s="719">
        <v>0</v>
      </c>
      <c r="AL61" s="719"/>
      <c r="AM61" s="719"/>
      <c r="AN61" s="719"/>
      <c r="AO61" s="719"/>
      <c r="AP61" s="719"/>
      <c r="AQ61" s="720">
        <v>729</v>
      </c>
      <c r="AR61" s="721">
        <v>976</v>
      </c>
      <c r="AS61" s="721">
        <v>306</v>
      </c>
      <c r="AT61" s="719">
        <v>321</v>
      </c>
      <c r="AU61" s="721">
        <v>1035</v>
      </c>
      <c r="AV61" s="721">
        <v>2332</v>
      </c>
    </row>
    <row r="62" spans="2:48" s="730" customFormat="1" x14ac:dyDescent="0.25">
      <c r="T62" s="714">
        <v>1999</v>
      </c>
      <c r="U62" s="715">
        <v>2476</v>
      </c>
      <c r="V62" s="715">
        <v>1039</v>
      </c>
      <c r="W62" s="451">
        <v>905</v>
      </c>
      <c r="X62" s="715">
        <v>817</v>
      </c>
      <c r="Y62" s="714"/>
      <c r="Z62" s="717">
        <v>956</v>
      </c>
      <c r="AA62" s="717">
        <v>355</v>
      </c>
      <c r="AB62" s="717">
        <v>905</v>
      </c>
      <c r="AC62" s="717">
        <v>817</v>
      </c>
      <c r="AD62" s="717">
        <v>3033</v>
      </c>
      <c r="AE62" s="718">
        <v>0.51370231058570659</v>
      </c>
      <c r="AF62" s="718">
        <v>0.43224530168150344</v>
      </c>
      <c r="AG62" s="719" t="s">
        <v>504</v>
      </c>
      <c r="AH62" s="719">
        <v>0</v>
      </c>
      <c r="AI62" s="719">
        <v>0</v>
      </c>
      <c r="AJ62" s="719">
        <v>0</v>
      </c>
      <c r="AK62" s="719">
        <v>0</v>
      </c>
      <c r="AL62" s="719"/>
      <c r="AM62" s="719"/>
      <c r="AN62" s="719"/>
      <c r="AO62" s="719"/>
      <c r="AP62" s="719"/>
      <c r="AQ62" s="720">
        <v>956</v>
      </c>
      <c r="AR62" s="721">
        <v>355</v>
      </c>
      <c r="AS62" s="721">
        <v>905</v>
      </c>
      <c r="AT62" s="719">
        <v>817</v>
      </c>
      <c r="AU62" s="721">
        <v>1861</v>
      </c>
      <c r="AV62" s="721">
        <v>3033</v>
      </c>
    </row>
    <row r="63" spans="2:48" x14ac:dyDescent="0.25">
      <c r="T63" s="719">
        <v>2000</v>
      </c>
      <c r="U63" s="715">
        <v>2546</v>
      </c>
      <c r="V63" s="715">
        <v>4890</v>
      </c>
      <c r="W63" s="731">
        <v>1148</v>
      </c>
      <c r="X63" s="715">
        <v>2240</v>
      </c>
      <c r="Y63" s="719"/>
      <c r="Z63" s="717">
        <v>1516</v>
      </c>
      <c r="AA63" s="717">
        <v>3257</v>
      </c>
      <c r="AB63" s="717">
        <v>1148</v>
      </c>
      <c r="AC63" s="717">
        <v>2240</v>
      </c>
      <c r="AD63" s="717">
        <v>8161</v>
      </c>
      <c r="AE63" s="718">
        <v>0.56906906906906907</v>
      </c>
      <c r="AF63" s="718">
        <v>0.58485479720622469</v>
      </c>
      <c r="AG63" s="719" t="s">
        <v>509</v>
      </c>
      <c r="AH63" s="719">
        <v>0</v>
      </c>
      <c r="AI63" s="719">
        <v>0</v>
      </c>
      <c r="AJ63" s="719">
        <v>0</v>
      </c>
      <c r="AK63" s="719">
        <v>0</v>
      </c>
      <c r="AL63" s="719"/>
      <c r="AM63" s="719"/>
      <c r="AN63" s="719"/>
      <c r="AO63" s="719"/>
      <c r="AP63" s="719"/>
      <c r="AQ63" s="720">
        <v>1516</v>
      </c>
      <c r="AR63" s="721">
        <v>3257</v>
      </c>
      <c r="AS63" s="721">
        <v>1148</v>
      </c>
      <c r="AT63" s="719">
        <v>2240</v>
      </c>
      <c r="AU63" s="721">
        <v>2664</v>
      </c>
      <c r="AV63" s="721">
        <v>8161</v>
      </c>
    </row>
    <row r="64" spans="2:48" x14ac:dyDescent="0.25">
      <c r="T64" s="719">
        <v>2001</v>
      </c>
      <c r="U64" s="715">
        <v>3752</v>
      </c>
      <c r="V64" s="715">
        <v>8316</v>
      </c>
      <c r="W64" s="451">
        <v>5163</v>
      </c>
      <c r="X64" s="715">
        <v>518</v>
      </c>
      <c r="Y64" s="719"/>
      <c r="Z64" s="717">
        <v>5344</v>
      </c>
      <c r="AA64" s="717">
        <v>3824</v>
      </c>
      <c r="AB64" s="717">
        <v>5163</v>
      </c>
      <c r="AC64" s="717">
        <v>518</v>
      </c>
      <c r="AD64" s="717">
        <v>14849</v>
      </c>
      <c r="AE64" s="718">
        <v>0.50861330541543737</v>
      </c>
      <c r="AF64" s="718">
        <v>0.61741531416256989</v>
      </c>
      <c r="AG64" s="719" t="s">
        <v>509</v>
      </c>
      <c r="AH64" s="719">
        <v>0</v>
      </c>
      <c r="AI64" s="719">
        <v>0</v>
      </c>
      <c r="AJ64" s="719">
        <v>0</v>
      </c>
      <c r="AK64" s="719">
        <v>0</v>
      </c>
      <c r="AL64" s="719"/>
      <c r="AM64" s="719"/>
      <c r="AN64" s="719"/>
      <c r="AO64" s="719"/>
      <c r="AP64" s="719"/>
      <c r="AQ64" s="720">
        <v>5344</v>
      </c>
      <c r="AR64" s="721">
        <v>3824</v>
      </c>
      <c r="AS64" s="721">
        <v>5163</v>
      </c>
      <c r="AT64" s="719">
        <v>518</v>
      </c>
      <c r="AU64" s="721">
        <v>10507</v>
      </c>
      <c r="AV64" s="721">
        <v>14849</v>
      </c>
    </row>
    <row r="65" spans="20:48" x14ac:dyDescent="0.25">
      <c r="T65" s="719">
        <v>2002</v>
      </c>
      <c r="U65" s="715">
        <v>10235</v>
      </c>
      <c r="V65" s="715">
        <v>4219</v>
      </c>
      <c r="W65" s="451">
        <v>2116</v>
      </c>
      <c r="X65" s="715">
        <v>1506</v>
      </c>
      <c r="Y65" s="719"/>
      <c r="Z65" s="717">
        <v>7999</v>
      </c>
      <c r="AA65" s="717">
        <v>4359</v>
      </c>
      <c r="AB65" s="717">
        <v>2116</v>
      </c>
      <c r="AC65" s="717">
        <v>1506</v>
      </c>
      <c r="AD65" s="717">
        <v>15980</v>
      </c>
      <c r="AE65" s="718">
        <v>0.79080573405832921</v>
      </c>
      <c r="AF65" s="718">
        <v>0.77334167709637047</v>
      </c>
      <c r="AG65" s="719" t="s">
        <v>509</v>
      </c>
      <c r="AH65" s="719">
        <v>0</v>
      </c>
      <c r="AI65" s="719">
        <v>0</v>
      </c>
      <c r="AJ65" s="719">
        <v>0</v>
      </c>
      <c r="AK65" s="719">
        <v>0</v>
      </c>
      <c r="AL65" s="719"/>
      <c r="AM65" s="719">
        <v>0</v>
      </c>
      <c r="AN65" s="719">
        <v>0</v>
      </c>
      <c r="AO65" s="719">
        <v>0</v>
      </c>
      <c r="AP65" s="719">
        <v>0</v>
      </c>
      <c r="AQ65" s="720">
        <v>7999</v>
      </c>
      <c r="AR65" s="721">
        <v>4359</v>
      </c>
      <c r="AS65" s="721">
        <v>2116</v>
      </c>
      <c r="AT65" s="719">
        <v>1506</v>
      </c>
      <c r="AU65" s="721">
        <v>10115</v>
      </c>
      <c r="AV65" s="721">
        <v>15980</v>
      </c>
    </row>
    <row r="66" spans="20:48" x14ac:dyDescent="0.25">
      <c r="T66" s="719">
        <v>2003</v>
      </c>
      <c r="U66" s="715">
        <v>7255</v>
      </c>
      <c r="V66" s="715">
        <v>5110</v>
      </c>
      <c r="W66" s="731">
        <v>5390</v>
      </c>
      <c r="X66" s="715">
        <v>1445</v>
      </c>
      <c r="Y66" s="719"/>
      <c r="Z66" s="721">
        <v>6333.3861313677644</v>
      </c>
      <c r="AA66" s="721">
        <v>4352.2161886073536</v>
      </c>
      <c r="AB66" s="721">
        <v>5390.2965020569309</v>
      </c>
      <c r="AC66" s="721">
        <v>1431.616082745428</v>
      </c>
      <c r="AD66" s="721">
        <v>17507.514904777476</v>
      </c>
      <c r="AE66" s="718">
        <v>0.54022156086953632</v>
      </c>
      <c r="AF66" s="718">
        <v>0.61034375113164774</v>
      </c>
      <c r="AG66" s="719" t="s">
        <v>510</v>
      </c>
      <c r="AH66" s="719">
        <v>0</v>
      </c>
      <c r="AI66" s="719">
        <v>0</v>
      </c>
      <c r="AJ66" s="719">
        <v>0</v>
      </c>
      <c r="AK66" s="719">
        <v>0</v>
      </c>
      <c r="AL66" s="719"/>
      <c r="AM66" s="719">
        <v>191</v>
      </c>
      <c r="AN66" s="719">
        <v>142</v>
      </c>
      <c r="AO66" s="719">
        <v>49</v>
      </c>
      <c r="AP66" s="719">
        <v>2</v>
      </c>
      <c r="AQ66" s="720">
        <v>6233.7792203730005</v>
      </c>
      <c r="AR66" s="721">
        <v>4352.2161886073536</v>
      </c>
      <c r="AS66" s="721">
        <v>5300.9034130516948</v>
      </c>
      <c r="AT66" s="721">
        <v>1431.616082745428</v>
      </c>
      <c r="AU66" s="721">
        <v>11534.682633424694</v>
      </c>
      <c r="AV66" s="721">
        <v>17318.514904777479</v>
      </c>
    </row>
    <row r="67" spans="20:48" x14ac:dyDescent="0.25">
      <c r="T67" s="719">
        <v>2004</v>
      </c>
      <c r="U67" s="715">
        <v>11537</v>
      </c>
      <c r="V67" s="715">
        <v>2222</v>
      </c>
      <c r="W67" s="731">
        <v>7214</v>
      </c>
      <c r="X67" s="715">
        <v>785</v>
      </c>
      <c r="Y67" s="719"/>
      <c r="Z67" s="721">
        <v>9521.2183637663693</v>
      </c>
      <c r="AA67" s="721">
        <v>1753.1642481706333</v>
      </c>
      <c r="AB67" s="721">
        <v>6087.4399313666609</v>
      </c>
      <c r="AC67" s="721">
        <v>620.2302509650309</v>
      </c>
      <c r="AD67" s="721">
        <v>17982.052794268697</v>
      </c>
      <c r="AE67" s="718">
        <v>0.60999595120454397</v>
      </c>
      <c r="AF67" s="718">
        <v>0.62697973034148879</v>
      </c>
      <c r="AG67" s="719" t="s">
        <v>510</v>
      </c>
      <c r="AH67" s="719">
        <v>0</v>
      </c>
      <c r="AI67" s="719">
        <v>0</v>
      </c>
      <c r="AJ67" s="719">
        <v>0</v>
      </c>
      <c r="AK67" s="719">
        <v>0</v>
      </c>
      <c r="AL67" s="719"/>
      <c r="AM67" s="719">
        <v>725</v>
      </c>
      <c r="AN67" s="719">
        <v>444</v>
      </c>
      <c r="AO67" s="719">
        <v>201</v>
      </c>
      <c r="AP67" s="719">
        <v>80</v>
      </c>
      <c r="AQ67" s="720">
        <v>9203.0685963245087</v>
      </c>
      <c r="AR67" s="721">
        <v>1753.1642481706333</v>
      </c>
      <c r="AS67" s="721">
        <v>5840.5896988085215</v>
      </c>
      <c r="AT67" s="721">
        <v>620.2302509650309</v>
      </c>
      <c r="AU67" s="721">
        <v>15043.658295133031</v>
      </c>
      <c r="AV67" s="721">
        <v>17417.052794268697</v>
      </c>
    </row>
    <row r="68" spans="20:48" x14ac:dyDescent="0.25">
      <c r="T68" s="719">
        <v>2005</v>
      </c>
      <c r="U68" s="715">
        <v>6493</v>
      </c>
      <c r="V68" s="715">
        <v>1318</v>
      </c>
      <c r="W68" s="732">
        <v>5177</v>
      </c>
      <c r="X68" s="715">
        <v>911</v>
      </c>
      <c r="Y68" s="719"/>
      <c r="Z68" s="721">
        <v>5339.7747906682516</v>
      </c>
      <c r="AA68" s="721">
        <v>1071.8775021606123</v>
      </c>
      <c r="AB68" s="721">
        <v>4583.7662060205421</v>
      </c>
      <c r="AC68" s="721">
        <v>884.21447978779452</v>
      </c>
      <c r="AD68" s="721">
        <v>11879.632978637199</v>
      </c>
      <c r="AE68" s="718">
        <v>0.53809167437812622</v>
      </c>
      <c r="AF68" s="718">
        <v>0.53971804552874258</v>
      </c>
      <c r="AG68" s="719" t="s">
        <v>510</v>
      </c>
      <c r="AH68" s="719">
        <v>0</v>
      </c>
      <c r="AI68" s="719">
        <v>0</v>
      </c>
      <c r="AJ68" s="719">
        <v>0</v>
      </c>
      <c r="AK68" s="719">
        <v>0</v>
      </c>
      <c r="AL68" s="719"/>
      <c r="AM68" s="719">
        <v>193</v>
      </c>
      <c r="AN68" s="719">
        <v>83</v>
      </c>
      <c r="AO68" s="719">
        <v>110</v>
      </c>
      <c r="AP68" s="719">
        <v>0</v>
      </c>
      <c r="AQ68" s="720">
        <v>5206.5347906682518</v>
      </c>
      <c r="AR68" s="721">
        <v>1071.8775021606123</v>
      </c>
      <c r="AS68" s="721">
        <v>4524.0062060205419</v>
      </c>
      <c r="AT68" s="721">
        <v>884.21447978779452</v>
      </c>
      <c r="AU68" s="721">
        <v>9730.5409966887928</v>
      </c>
      <c r="AV68" s="721">
        <v>11686.632978637201</v>
      </c>
    </row>
    <row r="69" spans="20:48" x14ac:dyDescent="0.25">
      <c r="T69" s="719">
        <v>2006</v>
      </c>
      <c r="U69" s="715">
        <v>3138</v>
      </c>
      <c r="V69" s="715">
        <v>4825</v>
      </c>
      <c r="W69" s="732">
        <v>4669</v>
      </c>
      <c r="X69" s="715">
        <v>1245</v>
      </c>
      <c r="Y69" s="719"/>
      <c r="Z69" s="721">
        <v>2500.6946250129704</v>
      </c>
      <c r="AA69" s="721">
        <v>3827.9898486026486</v>
      </c>
      <c r="AB69" s="721">
        <v>3984.4651211478335</v>
      </c>
      <c r="AC69" s="721">
        <v>1228.6280623477583</v>
      </c>
      <c r="AD69" s="721">
        <v>11541.77765711121</v>
      </c>
      <c r="AE69" s="718">
        <v>0.38560262551641455</v>
      </c>
      <c r="AF69" s="718">
        <v>0.54832839980385006</v>
      </c>
      <c r="AG69" s="719" t="s">
        <v>510</v>
      </c>
      <c r="AH69" s="719">
        <v>0</v>
      </c>
      <c r="AI69" s="719">
        <v>0</v>
      </c>
      <c r="AJ69" s="719">
        <v>0</v>
      </c>
      <c r="AK69" s="719">
        <v>0</v>
      </c>
      <c r="AL69" s="719"/>
      <c r="AM69" s="719">
        <v>141</v>
      </c>
      <c r="AN69" s="719">
        <v>49</v>
      </c>
      <c r="AO69" s="719">
        <v>92</v>
      </c>
      <c r="AP69" s="719">
        <v>0</v>
      </c>
      <c r="AQ69" s="720">
        <v>2401.8346250129703</v>
      </c>
      <c r="AR69" s="721">
        <v>3827.9898486026486</v>
      </c>
      <c r="AS69" s="721">
        <v>3942.3251211478337</v>
      </c>
      <c r="AT69" s="721">
        <v>1228.6280623477583</v>
      </c>
      <c r="AU69" s="721">
        <v>6344.1597461608035</v>
      </c>
      <c r="AV69" s="721">
        <v>11400.777657111212</v>
      </c>
    </row>
    <row r="70" spans="20:48" x14ac:dyDescent="0.25">
      <c r="T70" s="719">
        <v>2007</v>
      </c>
      <c r="U70" s="715">
        <v>7444</v>
      </c>
      <c r="V70" s="715">
        <v>7301</v>
      </c>
      <c r="W70" s="732">
        <v>3742</v>
      </c>
      <c r="X70" s="715">
        <v>675</v>
      </c>
      <c r="Y70" s="719"/>
      <c r="Z70" s="721">
        <v>5537.5484777608017</v>
      </c>
      <c r="AA70" s="721">
        <v>5530.242069740706</v>
      </c>
      <c r="AB70" s="721">
        <v>2816.3280450646644</v>
      </c>
      <c r="AC70" s="721">
        <v>613.33984131432419</v>
      </c>
      <c r="AD70" s="721">
        <v>14497.458433880496</v>
      </c>
      <c r="AE70" s="718">
        <v>0.66287171741531559</v>
      </c>
      <c r="AF70" s="718">
        <v>0.76342971411017324</v>
      </c>
      <c r="AG70" s="719" t="s">
        <v>510</v>
      </c>
      <c r="AH70" s="719">
        <v>0</v>
      </c>
      <c r="AI70" s="719">
        <v>0</v>
      </c>
      <c r="AJ70" s="719">
        <v>0</v>
      </c>
      <c r="AK70" s="719">
        <v>0</v>
      </c>
      <c r="AL70" s="719"/>
      <c r="AM70" s="719">
        <v>182</v>
      </c>
      <c r="AN70" s="719">
        <v>24</v>
      </c>
      <c r="AO70" s="719">
        <v>158</v>
      </c>
      <c r="AP70" s="719">
        <v>0</v>
      </c>
      <c r="AQ70" s="720">
        <v>5375.4684777608018</v>
      </c>
      <c r="AR70" s="721">
        <v>5530.242069740706</v>
      </c>
      <c r="AS70" s="721">
        <v>2796.4080450646643</v>
      </c>
      <c r="AT70" s="721">
        <v>613.33984131432419</v>
      </c>
      <c r="AU70" s="721">
        <v>8171.8765228254661</v>
      </c>
      <c r="AV70" s="721">
        <v>14315.458433880498</v>
      </c>
    </row>
    <row r="71" spans="20:48" x14ac:dyDescent="0.25">
      <c r="T71" s="719">
        <v>2008</v>
      </c>
      <c r="U71" s="715">
        <v>12271</v>
      </c>
      <c r="V71" s="715">
        <v>8648.2931618993316</v>
      </c>
      <c r="W71" s="732">
        <v>3930</v>
      </c>
      <c r="X71" s="715">
        <v>659</v>
      </c>
      <c r="Y71" s="719"/>
      <c r="Z71" s="721">
        <v>8924.7841479298258</v>
      </c>
      <c r="AA71" s="721">
        <v>7058.5027112937969</v>
      </c>
      <c r="AB71" s="721">
        <v>2995.2505866522847</v>
      </c>
      <c r="AC71" s="721">
        <v>647.26958839578231</v>
      </c>
      <c r="AD71" s="721">
        <v>19625.807034271689</v>
      </c>
      <c r="AE71" s="718">
        <v>0.74872132058788909</v>
      </c>
      <c r="AF71" s="718">
        <v>0.81440150875389261</v>
      </c>
      <c r="AG71" s="719" t="s">
        <v>510</v>
      </c>
      <c r="AH71" s="721">
        <v>97</v>
      </c>
      <c r="AI71" s="721">
        <v>35</v>
      </c>
      <c r="AJ71" s="721">
        <v>0</v>
      </c>
      <c r="AK71" s="721">
        <v>0</v>
      </c>
      <c r="AL71" s="719">
        <v>0</v>
      </c>
      <c r="AM71" s="719">
        <v>368</v>
      </c>
      <c r="AN71" s="719">
        <v>118</v>
      </c>
      <c r="AO71" s="719">
        <v>250</v>
      </c>
      <c r="AP71" s="719">
        <v>8</v>
      </c>
      <c r="AQ71" s="720">
        <v>8531.2989305385217</v>
      </c>
      <c r="AR71" s="721">
        <v>7023.5027112937969</v>
      </c>
      <c r="AS71" s="721">
        <v>2931.7358040435893</v>
      </c>
      <c r="AT71" s="721">
        <v>647.26958839578231</v>
      </c>
      <c r="AU71" s="721">
        <v>11463.03473458211</v>
      </c>
      <c r="AV71" s="721">
        <v>19133.807034271689</v>
      </c>
    </row>
    <row r="72" spans="20:48" x14ac:dyDescent="0.25">
      <c r="T72" s="719">
        <v>2009</v>
      </c>
      <c r="U72" s="715">
        <v>20285</v>
      </c>
      <c r="V72" s="715">
        <v>26521</v>
      </c>
      <c r="W72" s="732">
        <v>4977</v>
      </c>
      <c r="X72" s="715">
        <v>740</v>
      </c>
      <c r="Y72" s="719"/>
      <c r="Z72" s="721">
        <v>16411.404152103365</v>
      </c>
      <c r="AA72" s="721">
        <v>22288.980049357186</v>
      </c>
      <c r="AB72" s="721">
        <v>4273.1067809505912</v>
      </c>
      <c r="AC72" s="721">
        <v>718.32210611196103</v>
      </c>
      <c r="AD72" s="721">
        <v>43691.813088523108</v>
      </c>
      <c r="AE72" s="718">
        <v>0.79341514069244223</v>
      </c>
      <c r="AF72" s="718">
        <v>0.8857582568855743</v>
      </c>
      <c r="AG72" s="719" t="s">
        <v>510</v>
      </c>
      <c r="AH72" s="721">
        <v>112.45657568238214</v>
      </c>
      <c r="AI72" s="721">
        <v>711.54342431761791</v>
      </c>
      <c r="AJ72" s="721">
        <v>0</v>
      </c>
      <c r="AK72" s="721">
        <v>0</v>
      </c>
      <c r="AL72" s="719">
        <v>0</v>
      </c>
      <c r="AM72" s="719">
        <v>324</v>
      </c>
      <c r="AN72" s="719">
        <v>63</v>
      </c>
      <c r="AO72" s="719">
        <v>261</v>
      </c>
      <c r="AP72" s="719">
        <v>48</v>
      </c>
      <c r="AQ72" s="720">
        <v>16057.084243087649</v>
      </c>
      <c r="AR72" s="721">
        <v>21577.436625039569</v>
      </c>
      <c r="AS72" s="721">
        <v>4238.970114283924</v>
      </c>
      <c r="AT72" s="721">
        <v>718.32210611196103</v>
      </c>
      <c r="AU72" s="721">
        <v>20296.054357371573</v>
      </c>
      <c r="AV72" s="721">
        <v>42591.813088523108</v>
      </c>
    </row>
    <row r="73" spans="20:48" x14ac:dyDescent="0.25">
      <c r="T73" s="719">
        <v>2010</v>
      </c>
      <c r="U73" s="715">
        <v>37340</v>
      </c>
      <c r="V73" s="715">
        <v>6770</v>
      </c>
      <c r="W73" s="732">
        <v>7995</v>
      </c>
      <c r="X73" s="715">
        <v>533</v>
      </c>
      <c r="Y73" s="719"/>
      <c r="Z73" s="721">
        <v>32416.317410979857</v>
      </c>
      <c r="AA73" s="721">
        <v>5998.5761804329049</v>
      </c>
      <c r="AB73" s="721">
        <v>7347.2531724196024</v>
      </c>
      <c r="AC73" s="721">
        <v>532.91012031382684</v>
      </c>
      <c r="AD73" s="721">
        <v>46295.056884146194</v>
      </c>
      <c r="AE73" s="718">
        <v>0.8152265235585523</v>
      </c>
      <c r="AF73" s="718">
        <v>0.8297839159706919</v>
      </c>
      <c r="AG73" s="719" t="s">
        <v>510</v>
      </c>
      <c r="AH73" s="721">
        <v>930.85330347144463</v>
      </c>
      <c r="AI73" s="721">
        <v>376.14669652855542</v>
      </c>
      <c r="AJ73" s="721">
        <v>529.08201378950048</v>
      </c>
      <c r="AK73" s="721">
        <v>119.91798621049956</v>
      </c>
      <c r="AL73" s="719">
        <v>0</v>
      </c>
      <c r="AM73" s="719">
        <v>0</v>
      </c>
      <c r="AN73" s="719">
        <v>0</v>
      </c>
      <c r="AO73" s="719">
        <v>0</v>
      </c>
      <c r="AP73" s="719">
        <v>11</v>
      </c>
      <c r="AQ73" s="720">
        <v>30895.223920751556</v>
      </c>
      <c r="AR73" s="721">
        <v>5622.4294839043496</v>
      </c>
      <c r="AS73" s="721">
        <v>7288.4933591764575</v>
      </c>
      <c r="AT73" s="721">
        <v>532.91012031382684</v>
      </c>
      <c r="AU73" s="721">
        <v>38183.717279928016</v>
      </c>
      <c r="AV73" s="721">
        <v>44339.056884146186</v>
      </c>
    </row>
    <row r="74" spans="20:48" x14ac:dyDescent="0.25">
      <c r="T74" s="719">
        <v>2011</v>
      </c>
      <c r="U74" s="715">
        <v>18936</v>
      </c>
      <c r="V74" s="715">
        <v>11283</v>
      </c>
      <c r="W74" s="732">
        <v>8778</v>
      </c>
      <c r="X74" s="715">
        <v>4154</v>
      </c>
      <c r="Y74" s="719"/>
      <c r="Z74" s="721">
        <v>15508.484932484014</v>
      </c>
      <c r="AA74" s="721">
        <v>10022.240602292066</v>
      </c>
      <c r="AB74" s="721">
        <v>8071.8635157534291</v>
      </c>
      <c r="AC74" s="721">
        <v>4152.9750767684991</v>
      </c>
      <c r="AD74" s="721">
        <v>37755.564127298014</v>
      </c>
      <c r="AE74" s="718">
        <v>0.65768684320028459</v>
      </c>
      <c r="AF74" s="718">
        <v>0.67621094068931853</v>
      </c>
      <c r="AG74" s="719" t="s">
        <v>510</v>
      </c>
      <c r="AH74" s="721">
        <v>531.58300550747435</v>
      </c>
      <c r="AI74" s="721">
        <v>1382.4169944925256</v>
      </c>
      <c r="AJ74" s="721">
        <v>214.40591088329276</v>
      </c>
      <c r="AK74" s="721">
        <v>111.59408911670722</v>
      </c>
      <c r="AL74" s="719">
        <v>0</v>
      </c>
      <c r="AM74" s="719">
        <v>192</v>
      </c>
      <c r="AN74" s="719">
        <v>80</v>
      </c>
      <c r="AO74" s="719">
        <v>112</v>
      </c>
      <c r="AP74" s="719">
        <v>3</v>
      </c>
      <c r="AQ74" s="720">
        <v>14590.935907575898</v>
      </c>
      <c r="AR74" s="721">
        <v>8639.8236077995407</v>
      </c>
      <c r="AS74" s="721">
        <v>7942.8295351540683</v>
      </c>
      <c r="AT74" s="721">
        <v>4152.9750767684991</v>
      </c>
      <c r="AU74" s="721">
        <v>22533.765442729968</v>
      </c>
      <c r="AV74" s="721">
        <v>35326.564127298006</v>
      </c>
    </row>
    <row r="75" spans="20:48" x14ac:dyDescent="0.25">
      <c r="T75" s="719">
        <v>2012</v>
      </c>
      <c r="U75" s="715">
        <v>23550</v>
      </c>
      <c r="V75" s="715">
        <v>15265</v>
      </c>
      <c r="W75" s="732">
        <v>12788</v>
      </c>
      <c r="X75" s="715">
        <v>3662</v>
      </c>
      <c r="Y75" s="719"/>
      <c r="Z75" s="721">
        <v>19048.492084893576</v>
      </c>
      <c r="AA75" s="721">
        <v>12746.395482266</v>
      </c>
      <c r="AB75" s="721">
        <v>11314.868965854872</v>
      </c>
      <c r="AC75" s="721">
        <v>4137.5159485015347</v>
      </c>
      <c r="AD75" s="721">
        <v>47247.272481515982</v>
      </c>
      <c r="AE75" s="718">
        <v>0.62735123601950638</v>
      </c>
      <c r="AF75" s="718">
        <v>0.6729465193911105</v>
      </c>
      <c r="AG75" s="719" t="s">
        <v>510</v>
      </c>
      <c r="AH75" s="721">
        <v>892.5344978165939</v>
      </c>
      <c r="AI75" s="721">
        <v>1103.4655021834062</v>
      </c>
      <c r="AJ75" s="721">
        <v>276.03454384858281</v>
      </c>
      <c r="AK75" s="721">
        <v>163.96545615141719</v>
      </c>
      <c r="AL75" s="719">
        <v>0</v>
      </c>
      <c r="AM75" s="719">
        <v>0</v>
      </c>
      <c r="AN75" s="719">
        <v>0</v>
      </c>
      <c r="AO75" s="719">
        <v>0</v>
      </c>
      <c r="AP75" s="719">
        <v>15</v>
      </c>
      <c r="AQ75" s="720">
        <v>17829.093751821463</v>
      </c>
      <c r="AR75" s="721">
        <v>11642.929980082594</v>
      </c>
      <c r="AS75" s="721">
        <v>11201.732801110395</v>
      </c>
      <c r="AT75" s="721">
        <v>4137.5159485015347</v>
      </c>
      <c r="AU75" s="721">
        <v>29030.82655293186</v>
      </c>
      <c r="AV75" s="721">
        <v>44811.272481515982</v>
      </c>
    </row>
    <row r="76" spans="20:48" x14ac:dyDescent="0.25">
      <c r="T76" s="719">
        <v>2013</v>
      </c>
      <c r="U76" s="715">
        <v>34784</v>
      </c>
      <c r="V76" s="715">
        <v>13885</v>
      </c>
      <c r="W76" s="732">
        <v>20829</v>
      </c>
      <c r="X76" s="715">
        <v>6337</v>
      </c>
      <c r="Y76" s="719"/>
      <c r="Z76" s="721">
        <v>30813.404750367168</v>
      </c>
      <c r="AA76" s="721">
        <v>12573.052201120568</v>
      </c>
      <c r="AB76" s="721">
        <v>20425.264550509626</v>
      </c>
      <c r="AC76" s="721">
        <v>6335.3523694952491</v>
      </c>
      <c r="AD76" s="721">
        <v>70147.073871492612</v>
      </c>
      <c r="AE76" s="718">
        <v>0.60137012086377295</v>
      </c>
      <c r="AF76" s="718">
        <v>0.618507010441668</v>
      </c>
      <c r="AG76" s="719" t="s">
        <v>510</v>
      </c>
      <c r="AH76" s="721">
        <v>2361.4444444444443</v>
      </c>
      <c r="AI76" s="721">
        <v>1648.5555555555557</v>
      </c>
      <c r="AJ76" s="721">
        <v>867.77708440642436</v>
      </c>
      <c r="AK76" s="721">
        <v>575.22291559357564</v>
      </c>
      <c r="AL76" s="719">
        <v>38</v>
      </c>
      <c r="AM76" s="719">
        <v>361</v>
      </c>
      <c r="AN76" s="719">
        <v>163</v>
      </c>
      <c r="AO76" s="719">
        <v>198</v>
      </c>
      <c r="AP76" s="719">
        <v>0</v>
      </c>
      <c r="AQ76" s="720">
        <v>27179.480805150099</v>
      </c>
      <c r="AR76" s="721">
        <v>10886.496645565014</v>
      </c>
      <c r="AS76" s="721">
        <v>19893.74405128225</v>
      </c>
      <c r="AT76" s="721">
        <v>6335.3523694952491</v>
      </c>
      <c r="AU76" s="721">
        <v>47073.224856432353</v>
      </c>
      <c r="AV76" s="721">
        <v>64295.073871492612</v>
      </c>
    </row>
    <row r="77" spans="20:48" x14ac:dyDescent="0.25">
      <c r="T77" s="719">
        <v>2014</v>
      </c>
      <c r="U77" s="715">
        <v>46642</v>
      </c>
      <c r="V77" s="715">
        <v>10077</v>
      </c>
      <c r="W77" s="440">
        <v>13032</v>
      </c>
      <c r="X77" s="715">
        <v>3939</v>
      </c>
      <c r="Y77" s="719"/>
      <c r="Z77" s="721">
        <v>39847.495692627199</v>
      </c>
      <c r="AA77" s="721">
        <v>8705.2136477850727</v>
      </c>
      <c r="AB77" s="721">
        <v>13141.18908653407</v>
      </c>
      <c r="AC77" s="721">
        <v>3677.7289919319437</v>
      </c>
      <c r="AD77" s="721">
        <v>65371.627418878285</v>
      </c>
      <c r="AE77" s="718">
        <v>0.75200008942848739</v>
      </c>
      <c r="AF77" s="718">
        <v>0.742718381925903</v>
      </c>
      <c r="AG77" s="719" t="s">
        <v>510</v>
      </c>
      <c r="AH77" s="721">
        <v>1213.7840375586854</v>
      </c>
      <c r="AI77" s="721">
        <v>687.21596244131456</v>
      </c>
      <c r="AJ77" s="721">
        <v>558.73606644536619</v>
      </c>
      <c r="AK77" s="721">
        <v>184.26393355463387</v>
      </c>
      <c r="AL77" s="719">
        <v>51</v>
      </c>
      <c r="AM77" s="719">
        <v>4</v>
      </c>
      <c r="AN77" s="719">
        <v>1</v>
      </c>
      <c r="AO77" s="719">
        <v>3</v>
      </c>
      <c r="AP77" s="719">
        <v>0</v>
      </c>
      <c r="AQ77" s="720">
        <v>37971.933064503646</v>
      </c>
      <c r="AR77" s="721">
        <v>7966.9976853437583</v>
      </c>
      <c r="AS77" s="721">
        <v>13055.967677098939</v>
      </c>
      <c r="AT77" s="721">
        <v>3677.7289919319437</v>
      </c>
      <c r="AU77" s="721">
        <v>51027.900741602585</v>
      </c>
      <c r="AV77" s="721">
        <v>62672.627418878292</v>
      </c>
    </row>
    <row r="78" spans="20:48" x14ac:dyDescent="0.25">
      <c r="T78" s="719">
        <v>2015</v>
      </c>
      <c r="U78" s="715">
        <v>42557</v>
      </c>
      <c r="V78" s="715">
        <v>5557</v>
      </c>
      <c r="W78" s="440">
        <v>15773</v>
      </c>
      <c r="X78" s="715">
        <v>1839</v>
      </c>
      <c r="Y78" s="719"/>
      <c r="Z78" s="721">
        <v>37250.753836542055</v>
      </c>
      <c r="AA78" s="721">
        <v>5047.0842698823199</v>
      </c>
      <c r="AB78" s="721">
        <v>15034.00200268757</v>
      </c>
      <c r="AC78" s="721">
        <v>1838.5377472994862</v>
      </c>
      <c r="AD78" s="721">
        <v>59170.377856411433</v>
      </c>
      <c r="AE78" s="718">
        <v>0.71245917167681494</v>
      </c>
      <c r="AF78" s="718">
        <v>0.71484820004138561</v>
      </c>
      <c r="AG78" s="719" t="s">
        <v>510</v>
      </c>
      <c r="AH78" s="721">
        <v>1270.7927199191104</v>
      </c>
      <c r="AI78" s="721">
        <v>328.2072800808898</v>
      </c>
      <c r="AJ78" s="721">
        <v>645.48800953919431</v>
      </c>
      <c r="AK78" s="721">
        <v>260.51199046080569</v>
      </c>
      <c r="AL78" s="719">
        <v>13</v>
      </c>
      <c r="AM78" s="719">
        <v>63</v>
      </c>
      <c r="AN78" s="719">
        <v>29</v>
      </c>
      <c r="AO78" s="719">
        <v>34</v>
      </c>
      <c r="AP78" s="719">
        <v>27</v>
      </c>
      <c r="AQ78" s="720">
        <v>35176.078780233991</v>
      </c>
      <c r="AR78" s="721">
        <v>4705.8769898014298</v>
      </c>
      <c r="AS78" s="721">
        <v>14895.884339076521</v>
      </c>
      <c r="AT78" s="721">
        <v>1838.5377472994862</v>
      </c>
      <c r="AU78" s="721">
        <v>50071.963119310516</v>
      </c>
      <c r="AV78" s="721">
        <v>56616.377856411433</v>
      </c>
    </row>
    <row r="79" spans="20:48" x14ac:dyDescent="0.25">
      <c r="T79" s="719">
        <v>2016</v>
      </c>
      <c r="U79" s="715">
        <v>27676</v>
      </c>
      <c r="V79" s="715">
        <v>6451</v>
      </c>
      <c r="W79" s="440">
        <v>9741</v>
      </c>
      <c r="X79" s="715">
        <v>1194</v>
      </c>
      <c r="Y79" s="719"/>
      <c r="Z79" s="721">
        <v>23383.915032691388</v>
      </c>
      <c r="AA79" s="721">
        <v>5872.0337940565196</v>
      </c>
      <c r="AB79" s="721">
        <v>8761.5399431877358</v>
      </c>
      <c r="AC79" s="721">
        <v>1193.0279166842124</v>
      </c>
      <c r="AD79" s="721">
        <v>39210.516686619856</v>
      </c>
      <c r="AE79" s="718">
        <v>0.72744078595987816</v>
      </c>
      <c r="AF79" s="718">
        <v>0.7461250526375024</v>
      </c>
      <c r="AG79" s="719" t="s">
        <v>510</v>
      </c>
      <c r="AH79" s="721">
        <v>466</v>
      </c>
      <c r="AI79" s="721">
        <v>231</v>
      </c>
      <c r="AJ79" s="721">
        <v>557.21964204526671</v>
      </c>
      <c r="AK79" s="721">
        <v>208.78035795473335</v>
      </c>
      <c r="AL79" s="719">
        <v>0</v>
      </c>
      <c r="AM79" s="719">
        <v>0</v>
      </c>
      <c r="AN79" s="719">
        <v>0</v>
      </c>
      <c r="AO79" s="719">
        <v>0</v>
      </c>
      <c r="AP79" s="719">
        <v>0</v>
      </c>
      <c r="AQ79" s="720">
        <v>22262.568622407394</v>
      </c>
      <c r="AR79" s="721">
        <v>5641.0337940565196</v>
      </c>
      <c r="AS79" s="721">
        <v>8650.8863534717275</v>
      </c>
      <c r="AT79" s="721">
        <v>1193.0279166842124</v>
      </c>
      <c r="AU79" s="721">
        <v>30913.454975879122</v>
      </c>
      <c r="AV79" s="721">
        <v>37747.516686619856</v>
      </c>
    </row>
    <row r="80" spans="20:48" x14ac:dyDescent="0.25">
      <c r="T80" s="719">
        <v>2017</v>
      </c>
      <c r="U80" s="715">
        <v>17814</v>
      </c>
      <c r="V80" s="715">
        <v>3200</v>
      </c>
      <c r="W80" s="440">
        <v>6966</v>
      </c>
      <c r="X80" s="715">
        <v>644</v>
      </c>
      <c r="Y80" s="719"/>
      <c r="Z80" s="564">
        <v>11155</v>
      </c>
      <c r="AA80" s="564">
        <v>2109</v>
      </c>
      <c r="AB80" s="703">
        <v>6158</v>
      </c>
      <c r="AC80" s="564">
        <v>641</v>
      </c>
      <c r="AD80" s="564">
        <v>20063</v>
      </c>
      <c r="AE80" s="453">
        <v>0.64431352163114419</v>
      </c>
      <c r="AF80" s="453">
        <v>0.6611174799381947</v>
      </c>
      <c r="AG80" s="719" t="s">
        <v>510</v>
      </c>
      <c r="AH80" s="564" t="s">
        <v>511</v>
      </c>
      <c r="AI80" s="564" t="s">
        <v>511</v>
      </c>
      <c r="AJ80" s="564" t="s">
        <v>511</v>
      </c>
      <c r="AK80" s="564" t="s">
        <v>511</v>
      </c>
      <c r="AL80" s="564" t="s">
        <v>511</v>
      </c>
      <c r="AM80" s="564" t="s">
        <v>511</v>
      </c>
      <c r="AN80" s="564" t="s">
        <v>511</v>
      </c>
      <c r="AO80" s="564" t="s">
        <v>511</v>
      </c>
      <c r="AP80" s="564" t="s">
        <v>511</v>
      </c>
      <c r="AQ80" s="733">
        <v>11155</v>
      </c>
      <c r="AR80" s="733">
        <v>2109</v>
      </c>
      <c r="AS80" s="733">
        <v>6158</v>
      </c>
      <c r="AT80" s="733">
        <v>641</v>
      </c>
      <c r="AU80" s="733">
        <v>17313</v>
      </c>
      <c r="AV80" s="733">
        <v>20063</v>
      </c>
    </row>
    <row r="81" spans="24:36" x14ac:dyDescent="0.25">
      <c r="X81" s="564"/>
      <c r="AC81" s="703"/>
    </row>
    <row r="82" spans="24:36" x14ac:dyDescent="0.25">
      <c r="X82" s="564"/>
      <c r="AC82" s="703"/>
      <c r="AJ82" s="564" t="s">
        <v>512</v>
      </c>
    </row>
    <row r="83" spans="24:36" ht="17.25" x14ac:dyDescent="0.25">
      <c r="X83" s="564"/>
      <c r="AC83" s="703"/>
      <c r="AJ83" s="564" t="s">
        <v>513</v>
      </c>
    </row>
    <row r="84" spans="24:36" x14ac:dyDescent="0.25">
      <c r="X84" s="564"/>
      <c r="AC84" s="703"/>
    </row>
    <row r="85" spans="24:36" x14ac:dyDescent="0.25">
      <c r="X85" s="564"/>
      <c r="AC85" s="703"/>
    </row>
  </sheetData>
  <mergeCells count="5">
    <mergeCell ref="Z54:AD55"/>
    <mergeCell ref="U55:X55"/>
    <mergeCell ref="AH55:AL55"/>
    <mergeCell ref="AM55:AP55"/>
    <mergeCell ref="AQ55:AV55"/>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AB3BE-2504-47A8-89CC-801FB2AEE732}">
  <dimension ref="A1:W74"/>
  <sheetViews>
    <sheetView workbookViewId="0">
      <selection sqref="A1:XFD1048576"/>
    </sheetView>
  </sheetViews>
  <sheetFormatPr defaultRowHeight="15" x14ac:dyDescent="0.25"/>
  <cols>
    <col min="1" max="1" width="1.5703125" style="437" customWidth="1"/>
    <col min="2" max="2" width="9.140625" style="563"/>
    <col min="3" max="3" width="19.140625" style="563" customWidth="1"/>
    <col min="4" max="5" width="9.140625" style="563"/>
    <col min="6" max="6" width="12.28515625" style="563" customWidth="1"/>
    <col min="7" max="7" width="9.5703125" style="563" customWidth="1"/>
    <col min="8" max="8" width="12.5703125" style="563" customWidth="1"/>
    <col min="9" max="9" width="11.140625" style="563" customWidth="1"/>
    <col min="10" max="10" width="3.28515625" style="563" customWidth="1"/>
    <col min="11" max="11" width="7.5703125" style="563" customWidth="1"/>
    <col min="12" max="12" width="20.5703125" style="563" customWidth="1"/>
    <col min="13" max="13" width="8.140625" style="563" customWidth="1"/>
    <col min="14" max="14" width="9.140625" style="420"/>
    <col min="15" max="15" width="10.140625" style="420" customWidth="1"/>
    <col min="16" max="17" width="9.140625" style="420"/>
    <col min="18" max="18" width="11.5703125" style="420" customWidth="1"/>
    <col min="19" max="19" width="10.140625" style="420" customWidth="1"/>
    <col min="20" max="20" width="2.42578125" style="420" customWidth="1"/>
    <col min="21" max="16384" width="9.140625" style="420"/>
  </cols>
  <sheetData>
    <row r="1" spans="1:23" s="11" customFormat="1" ht="21" customHeight="1" x14ac:dyDescent="0.3">
      <c r="A1" s="734"/>
      <c r="B1" s="735" t="s">
        <v>514</v>
      </c>
      <c r="C1" s="734"/>
      <c r="D1" s="734"/>
      <c r="E1" s="735"/>
      <c r="F1" s="736"/>
      <c r="G1" s="737"/>
      <c r="H1" s="738" t="s">
        <v>515</v>
      </c>
      <c r="I1" s="735"/>
      <c r="J1" s="739"/>
      <c r="K1" s="736"/>
      <c r="L1" s="739"/>
      <c r="M1" s="739"/>
      <c r="N1" s="735" t="s">
        <v>516</v>
      </c>
      <c r="O1" s="740"/>
      <c r="P1" s="740"/>
      <c r="Q1" s="740"/>
      <c r="R1" s="740"/>
      <c r="S1" s="740"/>
      <c r="T1" s="740"/>
    </row>
    <row r="2" spans="1:23" s="437" customFormat="1" ht="6.6" customHeight="1" x14ac:dyDescent="0.25">
      <c r="B2" s="559"/>
      <c r="C2" s="560"/>
      <c r="D2" s="560"/>
      <c r="E2" s="561"/>
      <c r="F2" s="562"/>
      <c r="G2" s="562"/>
      <c r="H2" s="562"/>
      <c r="I2" s="562"/>
      <c r="J2" s="562"/>
      <c r="K2" s="562"/>
      <c r="L2" s="562"/>
      <c r="M2" s="562"/>
    </row>
    <row r="3" spans="1:23" x14ac:dyDescent="0.25">
      <c r="B3" s="562"/>
      <c r="C3" s="562"/>
      <c r="D3" s="562"/>
      <c r="E3" s="562"/>
      <c r="F3" s="562"/>
      <c r="G3" s="562"/>
      <c r="H3" s="562"/>
      <c r="I3" s="562"/>
      <c r="J3" s="562"/>
      <c r="K3" s="562"/>
      <c r="L3" s="562"/>
      <c r="M3" s="741" t="s">
        <v>38</v>
      </c>
      <c r="N3" s="742"/>
      <c r="O3" s="743"/>
      <c r="P3" s="743"/>
      <c r="Q3" s="743"/>
      <c r="R3" s="743"/>
      <c r="S3" s="744"/>
      <c r="T3" s="437"/>
    </row>
    <row r="4" spans="1:23" x14ac:dyDescent="0.25">
      <c r="B4" s="562"/>
      <c r="C4" s="562"/>
      <c r="D4" s="562"/>
      <c r="E4" s="562"/>
      <c r="F4" s="562"/>
      <c r="G4" s="562"/>
      <c r="H4" s="562"/>
      <c r="I4" s="562"/>
      <c r="J4" s="562"/>
      <c r="K4" s="562"/>
      <c r="L4" s="562"/>
      <c r="M4" s="745"/>
      <c r="N4" s="746"/>
      <c r="O4" s="746"/>
      <c r="P4" s="747" t="s">
        <v>39</v>
      </c>
      <c r="Q4" s="747" t="s">
        <v>40</v>
      </c>
      <c r="R4" s="747" t="s">
        <v>41</v>
      </c>
      <c r="S4" s="748" t="s">
        <v>42</v>
      </c>
      <c r="T4" s="437"/>
      <c r="W4" s="452"/>
    </row>
    <row r="5" spans="1:23" x14ac:dyDescent="0.25">
      <c r="B5" s="562"/>
      <c r="C5" s="562"/>
      <c r="D5" s="562"/>
      <c r="E5" s="562"/>
      <c r="F5" s="562"/>
      <c r="G5" s="562"/>
      <c r="H5" s="562"/>
      <c r="I5" s="562"/>
      <c r="J5" s="562"/>
      <c r="K5" s="562"/>
      <c r="L5" s="562"/>
      <c r="M5" s="491" t="s">
        <v>43</v>
      </c>
      <c r="N5" s="492"/>
      <c r="O5" s="493"/>
      <c r="P5" s="494">
        <f>M52</f>
        <v>1400</v>
      </c>
      <c r="Q5" s="494">
        <f>ROUND(P5-R5,0)</f>
        <v>300</v>
      </c>
      <c r="R5" s="494">
        <f>ROUND(P5*S5,-2)</f>
        <v>1100</v>
      </c>
      <c r="S5" s="495">
        <f>[4]Run!$P$45</f>
        <v>0.79563669153998484</v>
      </c>
      <c r="T5" s="437"/>
    </row>
    <row r="6" spans="1:23" x14ac:dyDescent="0.25">
      <c r="B6" s="562"/>
      <c r="C6" s="562"/>
      <c r="D6" s="562"/>
      <c r="E6" s="562"/>
      <c r="F6" s="562"/>
      <c r="G6" s="562"/>
      <c r="H6" s="562"/>
      <c r="I6" s="562"/>
      <c r="J6" s="562"/>
      <c r="K6" s="562"/>
      <c r="L6" s="562"/>
      <c r="M6" s="496" t="s">
        <v>517</v>
      </c>
      <c r="N6" s="497"/>
      <c r="O6" s="498"/>
      <c r="P6" s="499">
        <f>M56</f>
        <v>1200</v>
      </c>
      <c r="Q6" s="499">
        <f t="shared" ref="Q6" si="0">ROUND(P6-R6,0)</f>
        <v>200</v>
      </c>
      <c r="R6" s="499">
        <f t="shared" ref="R6" si="1">ROUND(P6*S6,-2)</f>
        <v>1000</v>
      </c>
      <c r="S6" s="500">
        <f>[4]Run!$P$45</f>
        <v>0.79563669153998484</v>
      </c>
      <c r="T6" s="437"/>
    </row>
    <row r="7" spans="1:23" x14ac:dyDescent="0.25">
      <c r="B7" s="562"/>
      <c r="C7" s="562"/>
      <c r="D7" s="562"/>
      <c r="E7" s="562"/>
      <c r="F7" s="562"/>
      <c r="G7" s="562"/>
      <c r="H7" s="562"/>
      <c r="I7" s="562"/>
      <c r="J7" s="562"/>
      <c r="K7" s="562"/>
      <c r="L7" s="562"/>
      <c r="M7" s="496" t="s">
        <v>518</v>
      </c>
      <c r="N7" s="497"/>
      <c r="O7" s="498"/>
      <c r="P7" s="499">
        <f>[4]Run!N44</f>
        <v>674.8</v>
      </c>
      <c r="Q7" s="499">
        <f>ROUND(P7-R7,0)</f>
        <v>175</v>
      </c>
      <c r="R7" s="499">
        <f>ROUND(P7*S7,-2)</f>
        <v>500</v>
      </c>
      <c r="S7" s="500">
        <f>[4]Run!$P$45</f>
        <v>0.79563669153998484</v>
      </c>
      <c r="T7" s="437"/>
    </row>
    <row r="8" spans="1:23" x14ac:dyDescent="0.25">
      <c r="B8" s="562"/>
      <c r="C8" s="562"/>
      <c r="D8" s="562"/>
      <c r="E8" s="562"/>
      <c r="F8" s="562"/>
      <c r="G8" s="562"/>
      <c r="H8" s="562"/>
      <c r="I8" s="562"/>
      <c r="J8" s="562"/>
      <c r="K8" s="562"/>
      <c r="L8" s="562"/>
      <c r="M8" s="496" t="s">
        <v>46</v>
      </c>
      <c r="N8" s="497"/>
      <c r="O8" s="498"/>
      <c r="P8" s="447"/>
      <c r="Q8" s="447"/>
      <c r="R8" s="447"/>
      <c r="S8" s="500"/>
      <c r="T8" s="437"/>
    </row>
    <row r="9" spans="1:23" x14ac:dyDescent="0.25">
      <c r="B9" s="562"/>
      <c r="C9" s="562"/>
      <c r="D9" s="562"/>
      <c r="E9" s="562"/>
      <c r="F9" s="562"/>
      <c r="G9" s="562"/>
      <c r="H9" s="562"/>
      <c r="I9" s="562"/>
      <c r="J9" s="562"/>
      <c r="K9" s="562"/>
      <c r="L9" s="562"/>
      <c r="M9" s="503" t="s">
        <v>227</v>
      </c>
      <c r="N9" s="504"/>
      <c r="O9" s="505"/>
      <c r="P9" s="506">
        <f>Q48</f>
        <v>85.800000000000011</v>
      </c>
      <c r="Q9" s="506">
        <f>P9-R9</f>
        <v>17.534371865869304</v>
      </c>
      <c r="R9" s="506">
        <f t="shared" ref="R9" si="2">P9*S9</f>
        <v>68.265628134130708</v>
      </c>
      <c r="S9" s="507">
        <f>[4]Run!$P$45</f>
        <v>0.79563669153998484</v>
      </c>
      <c r="T9" s="437"/>
    </row>
    <row r="10" spans="1:23" x14ac:dyDescent="0.25">
      <c r="B10" s="562"/>
      <c r="C10" s="562"/>
      <c r="D10" s="562"/>
      <c r="E10" s="562"/>
      <c r="F10" s="562"/>
      <c r="G10" s="562"/>
      <c r="H10" s="562"/>
      <c r="I10" s="562"/>
      <c r="J10" s="562"/>
      <c r="K10" s="562"/>
      <c r="L10" s="562"/>
      <c r="M10" s="562"/>
      <c r="N10" s="437"/>
      <c r="O10" s="437"/>
      <c r="P10" s="437"/>
      <c r="Q10" s="437"/>
      <c r="R10" s="437"/>
      <c r="S10" s="437"/>
      <c r="T10" s="437"/>
    </row>
    <row r="11" spans="1:23" x14ac:dyDescent="0.25">
      <c r="B11" s="562"/>
      <c r="C11" s="562"/>
      <c r="D11" s="562"/>
      <c r="E11" s="562"/>
      <c r="F11" s="562"/>
      <c r="G11" s="562"/>
      <c r="H11" s="562"/>
      <c r="I11" s="562"/>
      <c r="J11" s="562"/>
      <c r="K11" s="562"/>
      <c r="L11" s="562"/>
      <c r="M11" s="562"/>
      <c r="N11" s="437"/>
      <c r="O11" s="437"/>
      <c r="P11" s="437"/>
      <c r="Q11" s="437"/>
      <c r="R11" s="437"/>
      <c r="S11" s="437"/>
      <c r="T11" s="437"/>
    </row>
    <row r="12" spans="1:23" x14ac:dyDescent="0.25">
      <c r="B12" s="562"/>
      <c r="C12" s="562"/>
      <c r="D12" s="562"/>
      <c r="E12" s="562"/>
      <c r="F12" s="562"/>
      <c r="G12" s="562"/>
      <c r="H12" s="562"/>
      <c r="I12" s="562"/>
      <c r="J12" s="562"/>
      <c r="K12" s="562"/>
      <c r="L12" s="562"/>
      <c r="M12" s="562"/>
      <c r="N12" s="437"/>
      <c r="O12" s="437"/>
      <c r="P12" s="437"/>
      <c r="Q12" s="437"/>
      <c r="R12" s="437"/>
      <c r="S12" s="437"/>
      <c r="T12" s="437"/>
    </row>
    <row r="13" spans="1:23" x14ac:dyDescent="0.25">
      <c r="B13" s="562"/>
      <c r="C13" s="562"/>
      <c r="D13" s="562"/>
      <c r="E13" s="562"/>
      <c r="F13" s="562"/>
      <c r="H13" s="562"/>
      <c r="I13" s="562"/>
      <c r="J13" s="562"/>
      <c r="K13" s="562"/>
      <c r="L13" s="562"/>
      <c r="M13" s="562"/>
      <c r="N13" s="437"/>
      <c r="O13" s="437"/>
      <c r="P13" s="437"/>
      <c r="Q13" s="437"/>
      <c r="R13" s="437"/>
      <c r="S13" s="437"/>
      <c r="T13" s="437"/>
    </row>
    <row r="14" spans="1:23" s="564" customFormat="1" x14ac:dyDescent="0.25">
      <c r="A14" s="437"/>
      <c r="B14" s="562"/>
      <c r="C14" s="562"/>
      <c r="D14" s="562"/>
      <c r="E14" s="562"/>
      <c r="F14" s="562"/>
      <c r="H14" s="437"/>
      <c r="I14" s="437"/>
      <c r="J14" s="437"/>
      <c r="K14" s="437"/>
      <c r="L14" s="437"/>
      <c r="M14" s="437"/>
      <c r="N14" s="437"/>
      <c r="O14" s="437"/>
      <c r="P14" s="437"/>
      <c r="Q14" s="437"/>
      <c r="R14" s="437"/>
      <c r="S14" s="437"/>
      <c r="T14" s="437"/>
    </row>
    <row r="15" spans="1:23" ht="14.45" customHeight="1" x14ac:dyDescent="0.25">
      <c r="B15" s="562"/>
      <c r="C15" s="562"/>
      <c r="D15" s="562"/>
      <c r="E15" s="562"/>
      <c r="F15" s="562"/>
      <c r="H15" s="562"/>
      <c r="I15" s="562"/>
      <c r="J15" s="562"/>
      <c r="K15" s="562"/>
      <c r="L15" s="562"/>
      <c r="M15" s="562"/>
      <c r="N15" s="97"/>
      <c r="O15" s="437"/>
      <c r="P15" s="437"/>
      <c r="Q15" s="437"/>
      <c r="R15" s="437"/>
      <c r="S15" s="437"/>
      <c r="T15" s="437"/>
    </row>
    <row r="16" spans="1:23" x14ac:dyDescent="0.25">
      <c r="B16" s="562"/>
      <c r="C16" s="562"/>
      <c r="D16" s="562"/>
      <c r="E16" s="562"/>
      <c r="F16" s="562"/>
      <c r="H16" s="562"/>
      <c r="I16" s="562"/>
      <c r="J16" s="562"/>
      <c r="K16" s="562"/>
      <c r="L16" s="562"/>
      <c r="M16" s="562"/>
      <c r="N16" s="437"/>
      <c r="O16" s="437"/>
      <c r="P16" s="437"/>
      <c r="Q16" s="437"/>
      <c r="R16" s="437"/>
      <c r="S16" s="437"/>
      <c r="T16" s="437"/>
    </row>
    <row r="17" spans="2:20" x14ac:dyDescent="0.25">
      <c r="B17" s="562"/>
      <c r="C17" s="562"/>
      <c r="D17" s="562"/>
      <c r="E17" s="562"/>
      <c r="F17" s="562"/>
      <c r="H17" s="562"/>
      <c r="I17" s="562"/>
      <c r="J17" s="562"/>
      <c r="K17" s="562"/>
      <c r="L17" s="562"/>
      <c r="M17" s="562"/>
      <c r="N17" s="437"/>
      <c r="O17" s="437"/>
      <c r="P17" s="437"/>
      <c r="Q17" s="437"/>
      <c r="R17" s="437"/>
      <c r="S17" s="437"/>
      <c r="T17" s="437"/>
    </row>
    <row r="18" spans="2:20" x14ac:dyDescent="0.25">
      <c r="B18" s="562"/>
      <c r="C18" s="562"/>
      <c r="D18" s="562"/>
      <c r="E18" s="562"/>
      <c r="F18" s="562"/>
      <c r="H18" s="562"/>
      <c r="I18" s="562"/>
      <c r="J18" s="562"/>
      <c r="K18" s="562"/>
      <c r="L18" s="562"/>
      <c r="M18" s="562"/>
      <c r="N18" s="437"/>
      <c r="O18" s="437"/>
      <c r="P18" s="437"/>
      <c r="Q18" s="437"/>
      <c r="R18" s="437"/>
      <c r="S18" s="437"/>
      <c r="T18" s="437"/>
    </row>
    <row r="19" spans="2:20" x14ac:dyDescent="0.25">
      <c r="B19" s="562"/>
      <c r="C19" s="562"/>
      <c r="D19" s="562"/>
      <c r="E19" s="562"/>
      <c r="F19" s="562"/>
      <c r="H19" s="562"/>
      <c r="I19" s="562"/>
      <c r="J19" s="562"/>
      <c r="K19" s="562"/>
      <c r="L19" s="562"/>
      <c r="M19" s="562"/>
      <c r="N19" s="437"/>
      <c r="O19" s="437"/>
      <c r="P19" s="437"/>
      <c r="Q19" s="437"/>
      <c r="R19" s="437"/>
      <c r="S19" s="437"/>
      <c r="T19" s="437"/>
    </row>
    <row r="20" spans="2:20" x14ac:dyDescent="0.25">
      <c r="B20" s="562"/>
      <c r="C20" s="562"/>
      <c r="D20" s="562"/>
      <c r="E20" s="562"/>
      <c r="F20" s="562"/>
      <c r="H20" s="562"/>
      <c r="I20" s="562"/>
      <c r="J20" s="562"/>
      <c r="K20" s="562"/>
      <c r="L20" s="562"/>
      <c r="M20" s="562"/>
      <c r="N20" s="437"/>
      <c r="O20" s="437"/>
      <c r="P20" s="437"/>
      <c r="Q20" s="437"/>
      <c r="R20" s="437"/>
      <c r="S20" s="437"/>
      <c r="T20" s="437"/>
    </row>
    <row r="21" spans="2:20" x14ac:dyDescent="0.25">
      <c r="B21" s="562"/>
      <c r="C21" s="562"/>
      <c r="D21" s="562"/>
      <c r="E21" s="562"/>
      <c r="F21" s="562"/>
      <c r="H21" s="562"/>
      <c r="I21" s="562"/>
      <c r="J21" s="562"/>
      <c r="K21" s="562"/>
      <c r="L21" s="562"/>
      <c r="M21" s="562"/>
      <c r="N21" s="437"/>
      <c r="O21" s="437"/>
      <c r="P21" s="437"/>
      <c r="Q21" s="437"/>
      <c r="R21" s="437"/>
      <c r="S21" s="437"/>
      <c r="T21" s="437"/>
    </row>
    <row r="22" spans="2:20" x14ac:dyDescent="0.25">
      <c r="B22" s="562"/>
      <c r="C22" s="562"/>
      <c r="D22" s="562"/>
      <c r="E22" s="562"/>
      <c r="F22" s="562"/>
      <c r="H22" s="562"/>
      <c r="I22" s="562"/>
      <c r="J22" s="562"/>
      <c r="K22" s="562"/>
      <c r="L22" s="562"/>
      <c r="M22" s="562"/>
      <c r="N22" s="437"/>
      <c r="O22" s="437"/>
      <c r="P22" s="437"/>
      <c r="Q22" s="437"/>
      <c r="R22" s="437"/>
      <c r="S22" s="437"/>
      <c r="T22" s="437"/>
    </row>
    <row r="23" spans="2:20" x14ac:dyDescent="0.25">
      <c r="B23" s="562"/>
      <c r="C23" s="562"/>
      <c r="D23" s="562"/>
      <c r="E23" s="562"/>
      <c r="F23" s="562"/>
      <c r="H23" s="562"/>
      <c r="I23" s="562"/>
      <c r="J23" s="562"/>
      <c r="K23" s="562"/>
      <c r="L23" s="562"/>
      <c r="M23" s="562"/>
      <c r="N23" s="437"/>
      <c r="O23" s="437"/>
      <c r="P23" s="437"/>
      <c r="Q23" s="437"/>
      <c r="R23" s="437"/>
      <c r="S23" s="437"/>
      <c r="T23" s="437"/>
    </row>
    <row r="24" spans="2:20" x14ac:dyDescent="0.25">
      <c r="B24" s="562"/>
      <c r="C24" s="562"/>
      <c r="D24" s="562"/>
      <c r="E24" s="562"/>
      <c r="F24" s="562"/>
      <c r="H24" s="562"/>
      <c r="I24" s="562"/>
      <c r="J24" s="562"/>
      <c r="K24" s="562"/>
      <c r="L24" s="562"/>
      <c r="M24" s="562"/>
      <c r="N24" s="437"/>
      <c r="O24" s="437"/>
      <c r="P24" s="437"/>
      <c r="Q24" s="437"/>
      <c r="R24" s="437"/>
      <c r="S24" s="437"/>
      <c r="T24" s="437"/>
    </row>
    <row r="25" spans="2:20" ht="13.15" customHeight="1" x14ac:dyDescent="0.25">
      <c r="B25" s="562"/>
      <c r="C25" s="562"/>
      <c r="D25" s="562"/>
      <c r="E25" s="562"/>
      <c r="F25" s="562"/>
      <c r="H25" s="562"/>
      <c r="I25" s="562"/>
      <c r="J25" s="562"/>
      <c r="K25" s="562"/>
      <c r="L25" s="562"/>
      <c r="M25" s="562"/>
      <c r="N25" s="437"/>
      <c r="O25" s="437"/>
      <c r="P25" s="437"/>
      <c r="Q25" s="437"/>
      <c r="R25" s="437"/>
      <c r="S25" s="437"/>
      <c r="T25" s="437"/>
    </row>
    <row r="26" spans="2:20" x14ac:dyDescent="0.25">
      <c r="B26" s="562"/>
      <c r="C26" s="562"/>
      <c r="D26" s="562"/>
      <c r="E26" s="562"/>
      <c r="F26" s="562"/>
      <c r="I26" s="562"/>
      <c r="J26" s="562"/>
      <c r="K26" s="562"/>
      <c r="L26" s="562"/>
      <c r="M26" s="562"/>
      <c r="N26" s="437"/>
      <c r="O26" s="437"/>
      <c r="P26" s="437"/>
      <c r="Q26" s="437"/>
      <c r="R26" s="437"/>
      <c r="S26" s="437"/>
      <c r="T26" s="437"/>
    </row>
    <row r="27" spans="2:20" x14ac:dyDescent="0.25">
      <c r="B27" s="562"/>
      <c r="C27" s="562"/>
      <c r="D27" s="562"/>
      <c r="E27" s="562"/>
      <c r="F27" s="562"/>
      <c r="I27" s="562"/>
      <c r="J27" s="562"/>
      <c r="K27" s="562"/>
      <c r="L27" s="562"/>
      <c r="M27" s="562"/>
      <c r="N27" s="437"/>
      <c r="O27" s="437"/>
      <c r="P27" s="749"/>
      <c r="Q27" s="437"/>
      <c r="R27" s="437"/>
      <c r="S27" s="437"/>
      <c r="T27" s="437"/>
    </row>
    <row r="28" spans="2:20" ht="15" customHeight="1" x14ac:dyDescent="0.25">
      <c r="B28" s="562"/>
      <c r="C28" s="562"/>
      <c r="D28" s="562"/>
      <c r="E28" s="562"/>
      <c r="F28" s="562"/>
      <c r="I28" s="562"/>
      <c r="J28" s="562"/>
      <c r="K28" s="562"/>
      <c r="L28" s="562"/>
      <c r="M28" s="562"/>
      <c r="N28" s="437"/>
      <c r="O28" s="437"/>
      <c r="P28" s="437"/>
      <c r="Q28" s="437"/>
      <c r="R28" s="437"/>
      <c r="S28" s="437"/>
      <c r="T28" s="437"/>
    </row>
    <row r="29" spans="2:20" x14ac:dyDescent="0.25">
      <c r="B29" s="562"/>
      <c r="C29" s="562"/>
      <c r="D29" s="562"/>
      <c r="E29" s="562"/>
      <c r="F29" s="562"/>
      <c r="I29" s="562"/>
      <c r="J29" s="562"/>
      <c r="K29" s="562"/>
      <c r="L29" s="562"/>
      <c r="M29" s="562"/>
      <c r="N29" s="437"/>
      <c r="O29" s="437"/>
      <c r="P29" s="437"/>
      <c r="Q29" s="437"/>
      <c r="R29" s="437"/>
      <c r="S29" s="437"/>
      <c r="T29" s="437"/>
    </row>
    <row r="30" spans="2:20" x14ac:dyDescent="0.25">
      <c r="B30" s="562"/>
      <c r="C30" s="562"/>
      <c r="D30" s="562"/>
      <c r="E30" s="562"/>
      <c r="F30" s="562"/>
      <c r="I30" s="562"/>
      <c r="J30" s="562"/>
      <c r="K30" s="562"/>
      <c r="L30" s="562"/>
      <c r="M30" s="562"/>
      <c r="N30" s="437"/>
      <c r="O30" s="437"/>
      <c r="P30" s="437"/>
      <c r="Q30" s="437"/>
      <c r="R30" s="437"/>
      <c r="S30" s="437"/>
      <c r="T30" s="437"/>
    </row>
    <row r="31" spans="2:20" x14ac:dyDescent="0.25">
      <c r="B31" s="562"/>
      <c r="C31" s="562"/>
      <c r="D31" s="562"/>
      <c r="E31" s="562"/>
      <c r="F31" s="562"/>
      <c r="I31" s="562"/>
      <c r="J31" s="562"/>
      <c r="K31" s="562"/>
      <c r="L31" s="562"/>
      <c r="M31" s="562"/>
      <c r="N31" s="437"/>
      <c r="O31" s="437"/>
      <c r="P31" s="437"/>
      <c r="Q31" s="437"/>
      <c r="R31" s="437"/>
      <c r="S31" s="437"/>
      <c r="T31" s="437"/>
    </row>
    <row r="32" spans="2:20" x14ac:dyDescent="0.25">
      <c r="B32" s="562"/>
      <c r="C32" s="562"/>
      <c r="D32" s="562"/>
      <c r="E32" s="562"/>
      <c r="F32" s="562"/>
      <c r="I32" s="562"/>
      <c r="J32" s="562"/>
      <c r="K32" s="562"/>
      <c r="L32" s="562"/>
      <c r="M32" s="562"/>
      <c r="N32" s="437"/>
      <c r="O32" s="437"/>
      <c r="P32" s="437"/>
      <c r="Q32" s="437"/>
      <c r="R32" s="437"/>
      <c r="S32" s="437"/>
      <c r="T32" s="437"/>
    </row>
    <row r="33" spans="2:20" ht="15" customHeight="1" x14ac:dyDescent="0.25">
      <c r="B33" s="562"/>
      <c r="C33" s="562"/>
      <c r="D33" s="562"/>
      <c r="E33" s="562"/>
      <c r="F33" s="562"/>
      <c r="I33" s="562"/>
      <c r="J33" s="562"/>
      <c r="K33" s="562"/>
      <c r="L33" s="562"/>
      <c r="M33" s="562"/>
      <c r="N33" s="437"/>
      <c r="O33" s="437"/>
      <c r="P33" s="437"/>
      <c r="Q33" s="437"/>
      <c r="R33" s="437"/>
      <c r="S33" s="437"/>
      <c r="T33" s="437"/>
    </row>
    <row r="34" spans="2:20" x14ac:dyDescent="0.25">
      <c r="B34" s="562"/>
      <c r="C34" s="562"/>
      <c r="D34" s="562"/>
      <c r="E34" s="562"/>
      <c r="F34" s="562"/>
      <c r="I34" s="562"/>
      <c r="J34" s="562"/>
      <c r="K34" s="562"/>
      <c r="L34" s="562"/>
      <c r="M34" s="562"/>
      <c r="N34" s="437"/>
      <c r="O34" s="437"/>
      <c r="P34" s="437"/>
      <c r="Q34" s="437"/>
      <c r="R34" s="437"/>
      <c r="S34" s="437"/>
      <c r="T34" s="437"/>
    </row>
    <row r="35" spans="2:20" x14ac:dyDescent="0.25">
      <c r="B35" s="562"/>
      <c r="C35" s="562"/>
      <c r="D35" s="562"/>
      <c r="E35" s="562"/>
      <c r="F35" s="562"/>
      <c r="I35" s="562"/>
      <c r="J35" s="562"/>
      <c r="K35" s="562"/>
      <c r="L35" s="562"/>
      <c r="M35" s="562"/>
      <c r="N35" s="437"/>
      <c r="O35" s="437"/>
      <c r="P35" s="437"/>
      <c r="Q35" s="437"/>
      <c r="R35" s="437"/>
      <c r="S35" s="437"/>
      <c r="T35" s="437"/>
    </row>
    <row r="36" spans="2:20" x14ac:dyDescent="0.25">
      <c r="B36" s="562"/>
      <c r="C36" s="562"/>
      <c r="D36" s="562"/>
      <c r="E36" s="562"/>
      <c r="F36" s="562"/>
      <c r="I36" s="562"/>
      <c r="J36" s="562"/>
      <c r="K36" s="562"/>
      <c r="L36" s="562"/>
      <c r="M36" s="562"/>
      <c r="N36" s="437"/>
      <c r="O36" s="437"/>
      <c r="P36" s="437"/>
      <c r="Q36" s="437"/>
      <c r="R36" s="437"/>
      <c r="S36" s="437"/>
      <c r="T36" s="437"/>
    </row>
    <row r="37" spans="2:20" x14ac:dyDescent="0.25">
      <c r="B37" s="562"/>
      <c r="C37" s="562"/>
      <c r="D37" s="562"/>
      <c r="E37" s="562"/>
      <c r="F37" s="562"/>
      <c r="I37" s="562"/>
      <c r="J37" s="562"/>
      <c r="K37" s="562"/>
      <c r="L37" s="562"/>
      <c r="M37" s="562"/>
      <c r="N37" s="437"/>
      <c r="O37" s="437"/>
      <c r="P37" s="437"/>
      <c r="Q37" s="437"/>
      <c r="R37" s="437"/>
      <c r="S37" s="437"/>
      <c r="T37" s="437"/>
    </row>
    <row r="38" spans="2:20" x14ac:dyDescent="0.25">
      <c r="B38" s="562"/>
      <c r="C38" s="562"/>
      <c r="D38" s="562"/>
      <c r="E38" s="562"/>
      <c r="F38" s="562"/>
      <c r="I38" s="562"/>
      <c r="J38" s="562"/>
      <c r="K38" s="562"/>
      <c r="L38" s="562"/>
      <c r="M38" s="562"/>
      <c r="N38" s="437"/>
      <c r="O38" s="437"/>
      <c r="P38" s="437"/>
      <c r="Q38" s="437"/>
      <c r="R38" s="437"/>
      <c r="S38" s="437"/>
      <c r="T38" s="437"/>
    </row>
    <row r="39" spans="2:20" x14ac:dyDescent="0.25">
      <c r="B39" s="562"/>
      <c r="C39" s="562"/>
      <c r="D39" s="562"/>
      <c r="E39" s="562"/>
      <c r="F39" s="562"/>
      <c r="I39" s="562"/>
      <c r="J39" s="562"/>
      <c r="K39" s="562"/>
      <c r="L39" s="562"/>
      <c r="M39" s="562"/>
      <c r="N39" s="437"/>
      <c r="O39" s="437"/>
      <c r="P39" s="437"/>
      <c r="Q39" s="437"/>
      <c r="R39" s="437"/>
      <c r="S39" s="437"/>
      <c r="T39" s="437"/>
    </row>
    <row r="40" spans="2:20" x14ac:dyDescent="0.25">
      <c r="B40" s="562"/>
      <c r="C40" s="562"/>
      <c r="D40" s="562"/>
      <c r="E40" s="562"/>
      <c r="F40" s="562"/>
      <c r="I40" s="562"/>
      <c r="J40" s="562"/>
      <c r="K40" s="41" t="s">
        <v>47</v>
      </c>
      <c r="L40" s="750">
        <f>M48</f>
        <v>6.0999999999999999E-2</v>
      </c>
      <c r="M40" s="562"/>
      <c r="N40" s="437"/>
      <c r="O40" s="437"/>
      <c r="P40" s="437"/>
      <c r="Q40" s="41" t="s">
        <v>47</v>
      </c>
      <c r="R40" s="568">
        <f>E58</f>
        <v>250000</v>
      </c>
      <c r="T40" s="437"/>
    </row>
    <row r="41" spans="2:20" x14ac:dyDescent="0.25">
      <c r="B41" s="562"/>
      <c r="C41" s="562"/>
      <c r="D41" s="562"/>
      <c r="E41" s="562"/>
      <c r="F41" s="562"/>
      <c r="G41" s="562"/>
      <c r="H41" s="562"/>
      <c r="I41" s="562"/>
      <c r="J41" s="562"/>
      <c r="K41" s="562"/>
      <c r="L41" s="562"/>
      <c r="M41" s="562"/>
      <c r="N41" s="437"/>
      <c r="O41" s="437"/>
      <c r="P41" s="437"/>
      <c r="Q41" s="437"/>
      <c r="R41" s="437"/>
      <c r="S41" s="437"/>
      <c r="T41" s="437"/>
    </row>
    <row r="42" spans="2:20" x14ac:dyDescent="0.25">
      <c r="B42" s="421" t="s">
        <v>49</v>
      </c>
      <c r="C42" s="422"/>
      <c r="D42" s="423" t="s">
        <v>50</v>
      </c>
      <c r="E42" s="424"/>
      <c r="F42" s="49" t="s">
        <v>51</v>
      </c>
      <c r="G42" s="51"/>
      <c r="H42" s="52"/>
      <c r="I42" s="562"/>
      <c r="J42" s="562"/>
      <c r="K42" s="434" t="s">
        <v>101</v>
      </c>
      <c r="L42" s="435"/>
      <c r="M42" s="136" t="s">
        <v>102</v>
      </c>
      <c r="N42" s="136"/>
      <c r="O42" s="136"/>
      <c r="P42" s="137"/>
      <c r="Q42" s="136" t="s">
        <v>5</v>
      </c>
      <c r="R42" s="138"/>
      <c r="S42" s="531"/>
      <c r="T42" s="437"/>
    </row>
    <row r="43" spans="2:20" x14ac:dyDescent="0.25">
      <c r="B43" s="425" t="s">
        <v>56</v>
      </c>
      <c r="C43" s="572" t="s">
        <v>57</v>
      </c>
      <c r="D43" s="751" t="s">
        <v>58</v>
      </c>
      <c r="E43" s="62" t="s">
        <v>59</v>
      </c>
      <c r="F43" s="426" t="s">
        <v>60</v>
      </c>
      <c r="G43" s="426" t="s">
        <v>61</v>
      </c>
      <c r="H43" s="574" t="s">
        <v>62</v>
      </c>
      <c r="I43" s="562"/>
      <c r="J43" s="562"/>
      <c r="K43" s="436"/>
      <c r="L43" s="532" t="s">
        <v>105</v>
      </c>
      <c r="M43" s="819" t="s">
        <v>306</v>
      </c>
      <c r="N43" s="941"/>
      <c r="O43" s="514" t="s">
        <v>68</v>
      </c>
      <c r="P43" s="514" t="s">
        <v>55</v>
      </c>
      <c r="Q43" s="819" t="s">
        <v>108</v>
      </c>
      <c r="R43" s="820"/>
      <c r="S43" s="533" t="s">
        <v>55</v>
      </c>
      <c r="T43" s="437"/>
    </row>
    <row r="44" spans="2:20" ht="15" customHeight="1" x14ac:dyDescent="0.25">
      <c r="B44" s="895" t="s">
        <v>519</v>
      </c>
      <c r="C44" s="576" t="s">
        <v>520</v>
      </c>
      <c r="D44" s="752">
        <f>[4]Run!O44</f>
        <v>133.85796704130993</v>
      </c>
      <c r="E44" s="965">
        <v>25000</v>
      </c>
      <c r="F44" s="753">
        <v>1000</v>
      </c>
      <c r="G44" s="72"/>
      <c r="H44" s="73"/>
      <c r="I44" s="562"/>
      <c r="J44" s="562"/>
      <c r="K44" s="968" t="s">
        <v>521</v>
      </c>
      <c r="L44" s="441" t="s">
        <v>1</v>
      </c>
      <c r="M44" s="969">
        <v>0</v>
      </c>
      <c r="N44" s="943"/>
      <c r="O44" s="516" t="s">
        <v>85</v>
      </c>
      <c r="P44" s="516" t="s">
        <v>85</v>
      </c>
      <c r="Q44" s="823" t="s">
        <v>85</v>
      </c>
      <c r="R44" s="823"/>
      <c r="S44" s="535" t="s">
        <v>85</v>
      </c>
      <c r="T44" s="437"/>
    </row>
    <row r="45" spans="2:20" x14ac:dyDescent="0.25">
      <c r="B45" s="903"/>
      <c r="C45" s="754" t="s">
        <v>522</v>
      </c>
      <c r="D45" s="755">
        <v>0</v>
      </c>
      <c r="E45" s="966"/>
      <c r="F45" s="756">
        <v>1000</v>
      </c>
      <c r="G45" s="508"/>
      <c r="H45" s="509"/>
      <c r="I45" s="562"/>
      <c r="J45" s="562"/>
      <c r="K45" s="903"/>
      <c r="L45" s="442" t="s">
        <v>523</v>
      </c>
      <c r="M45" s="970">
        <v>4.0000000000000001E-3</v>
      </c>
      <c r="N45" s="971"/>
      <c r="O45" s="972" t="s">
        <v>524</v>
      </c>
      <c r="P45" s="827" t="s">
        <v>72</v>
      </c>
      <c r="Q45" s="973">
        <f>[4]Run!D44</f>
        <v>5.9</v>
      </c>
      <c r="R45" s="974"/>
      <c r="S45" s="536" t="s">
        <v>115</v>
      </c>
      <c r="T45" s="437"/>
    </row>
    <row r="46" spans="2:20" x14ac:dyDescent="0.25">
      <c r="B46" s="903"/>
      <c r="C46" s="429" t="s">
        <v>525</v>
      </c>
      <c r="D46" s="755">
        <v>0</v>
      </c>
      <c r="E46" s="966"/>
      <c r="F46" s="757" t="s">
        <v>85</v>
      </c>
      <c r="G46" s="100" t="s">
        <v>85</v>
      </c>
      <c r="H46" s="104" t="s">
        <v>85</v>
      </c>
      <c r="I46" s="562"/>
      <c r="J46" s="562"/>
      <c r="K46" s="903"/>
      <c r="L46" s="442" t="s">
        <v>117</v>
      </c>
      <c r="M46" s="970">
        <v>5.7000000000000002E-2</v>
      </c>
      <c r="N46" s="971"/>
      <c r="O46" s="825"/>
      <c r="P46" s="827"/>
      <c r="Q46" s="973">
        <f>[4]Run!E44</f>
        <v>79.900000000000006</v>
      </c>
      <c r="R46" s="975"/>
      <c r="S46" s="536"/>
      <c r="T46" s="437"/>
    </row>
    <row r="47" spans="2:20" x14ac:dyDescent="0.25">
      <c r="B47" s="903"/>
      <c r="C47" s="429" t="s">
        <v>526</v>
      </c>
      <c r="D47" s="755">
        <v>0</v>
      </c>
      <c r="E47" s="966"/>
      <c r="F47" s="757" t="s">
        <v>85</v>
      </c>
      <c r="G47" s="100" t="s">
        <v>85</v>
      </c>
      <c r="H47" s="104" t="s">
        <v>85</v>
      </c>
      <c r="I47" s="562"/>
      <c r="J47" s="562"/>
      <c r="K47" s="903"/>
      <c r="L47" s="441" t="s">
        <v>119</v>
      </c>
      <c r="M47" s="976">
        <v>0</v>
      </c>
      <c r="N47" s="941"/>
      <c r="O47" s="537" t="s">
        <v>85</v>
      </c>
      <c r="P47" s="153" t="s">
        <v>72</v>
      </c>
      <c r="Q47" s="973" t="s">
        <v>85</v>
      </c>
      <c r="R47" s="974"/>
      <c r="S47" s="536" t="s">
        <v>115</v>
      </c>
      <c r="T47" s="437"/>
    </row>
    <row r="48" spans="2:20" x14ac:dyDescent="0.25">
      <c r="B48" s="903"/>
      <c r="C48" s="429" t="s">
        <v>527</v>
      </c>
      <c r="D48" s="755">
        <v>0</v>
      </c>
      <c r="E48" s="966"/>
      <c r="F48" s="756">
        <v>500</v>
      </c>
      <c r="G48" s="508"/>
      <c r="H48" s="509"/>
      <c r="I48" s="562"/>
      <c r="J48" s="562"/>
      <c r="K48" s="904"/>
      <c r="L48" s="538" t="s">
        <v>39</v>
      </c>
      <c r="M48" s="984">
        <f>SUM(M44:M47)</f>
        <v>6.0999999999999999E-2</v>
      </c>
      <c r="N48" s="985"/>
      <c r="O48" s="540" t="str">
        <f>O45</f>
        <v>5-7%</v>
      </c>
      <c r="P48" s="156" t="s">
        <v>72</v>
      </c>
      <c r="Q48" s="986">
        <f>SUM(Q44:R47)</f>
        <v>85.800000000000011</v>
      </c>
      <c r="R48" s="987"/>
      <c r="S48" s="539" t="s">
        <v>115</v>
      </c>
      <c r="T48" s="437"/>
    </row>
    <row r="49" spans="2:20" ht="15" customHeight="1" x14ac:dyDescent="0.25">
      <c r="B49" s="904"/>
      <c r="C49" s="112" t="s">
        <v>528</v>
      </c>
      <c r="D49" s="760">
        <v>0</v>
      </c>
      <c r="E49" s="967"/>
      <c r="F49" s="761" t="s">
        <v>85</v>
      </c>
      <c r="G49" s="84" t="s">
        <v>85</v>
      </c>
      <c r="H49" s="762" t="s">
        <v>85</v>
      </c>
      <c r="I49" s="562"/>
      <c r="J49" s="562"/>
      <c r="K49" s="562"/>
      <c r="L49" s="562"/>
      <c r="M49" s="562"/>
      <c r="N49" s="437"/>
      <c r="O49" s="437"/>
      <c r="P49" s="437"/>
      <c r="Q49" s="437"/>
      <c r="R49" s="437"/>
      <c r="S49" s="437"/>
      <c r="T49" s="437"/>
    </row>
    <row r="50" spans="2:20" x14ac:dyDescent="0.25">
      <c r="B50" s="763" t="s">
        <v>529</v>
      </c>
      <c r="C50" s="442" t="s">
        <v>530</v>
      </c>
      <c r="D50" s="433">
        <v>0</v>
      </c>
      <c r="E50" s="444">
        <v>35000</v>
      </c>
      <c r="F50" s="761" t="s">
        <v>85</v>
      </c>
      <c r="G50" s="84" t="s">
        <v>85</v>
      </c>
      <c r="H50" s="762" t="s">
        <v>85</v>
      </c>
      <c r="I50" s="562"/>
      <c r="J50" s="562"/>
      <c r="K50" s="842" t="s">
        <v>125</v>
      </c>
      <c r="L50" s="901"/>
      <c r="M50" s="846" t="s">
        <v>50</v>
      </c>
      <c r="N50" s="847"/>
      <c r="O50" s="979"/>
      <c r="P50" s="980"/>
      <c r="Q50" s="167" t="s">
        <v>127</v>
      </c>
      <c r="R50" s="168"/>
      <c r="S50" s="169"/>
      <c r="T50" s="437"/>
    </row>
    <row r="51" spans="2:20" x14ac:dyDescent="0.25">
      <c r="B51" s="764" t="s">
        <v>531</v>
      </c>
      <c r="C51" s="765"/>
      <c r="D51" s="427">
        <v>0</v>
      </c>
      <c r="E51" s="766" t="s">
        <v>72</v>
      </c>
      <c r="F51" s="757" t="s">
        <v>85</v>
      </c>
      <c r="G51" s="100" t="s">
        <v>85</v>
      </c>
      <c r="H51" s="104" t="s">
        <v>85</v>
      </c>
      <c r="I51" s="562"/>
      <c r="J51" s="562"/>
      <c r="K51" s="844"/>
      <c r="L51" s="902"/>
      <c r="M51" s="767" t="s">
        <v>532</v>
      </c>
      <c r="N51" s="726"/>
      <c r="O51" s="981" t="s">
        <v>59</v>
      </c>
      <c r="P51" s="820"/>
      <c r="Q51" s="512" t="s">
        <v>60</v>
      </c>
      <c r="R51" s="512" t="s">
        <v>61</v>
      </c>
      <c r="S51" s="513" t="s">
        <v>62</v>
      </c>
      <c r="T51" s="437"/>
    </row>
    <row r="52" spans="2:20" x14ac:dyDescent="0.25">
      <c r="B52" s="769" t="s">
        <v>47</v>
      </c>
      <c r="C52" s="525"/>
      <c r="D52" s="592">
        <f>SUM(D44:D51)</f>
        <v>133.85796704130993</v>
      </c>
      <c r="E52" s="592"/>
      <c r="F52" s="770">
        <f>SUM(F44:F51)</f>
        <v>2500</v>
      </c>
      <c r="G52" s="770">
        <f>SUM(G44:G51)</f>
        <v>0</v>
      </c>
      <c r="H52" s="771">
        <f>SUM(H44:H51)</f>
        <v>0</v>
      </c>
      <c r="I52" s="562"/>
      <c r="J52" s="562"/>
      <c r="K52" s="519" t="s">
        <v>43</v>
      </c>
      <c r="L52" s="520"/>
      <c r="M52" s="977">
        <f>ROUND([4]Run!C44,-2)</f>
        <v>1400</v>
      </c>
      <c r="N52" s="939"/>
      <c r="O52" s="978"/>
      <c r="P52" s="943"/>
      <c r="Q52" s="772"/>
      <c r="R52" s="449"/>
      <c r="S52" s="521"/>
      <c r="T52" s="437"/>
    </row>
    <row r="53" spans="2:20" x14ac:dyDescent="0.25">
      <c r="B53" s="562"/>
      <c r="C53" s="562"/>
      <c r="D53" s="562"/>
      <c r="E53" s="562"/>
      <c r="F53" s="562"/>
      <c r="G53" s="562"/>
      <c r="H53" s="562"/>
      <c r="I53" s="562"/>
      <c r="J53" s="562"/>
      <c r="K53" s="442"/>
      <c r="L53" s="429" t="s">
        <v>110</v>
      </c>
      <c r="M53" s="944">
        <f>M52-M54</f>
        <v>300</v>
      </c>
      <c r="N53" s="945"/>
      <c r="O53" s="982"/>
      <c r="P53" s="983"/>
      <c r="Q53" s="440"/>
      <c r="R53" s="440"/>
      <c r="S53" s="515"/>
      <c r="T53" s="437"/>
    </row>
    <row r="54" spans="2:20" x14ac:dyDescent="0.25">
      <c r="B54" s="526" t="s">
        <v>52</v>
      </c>
      <c r="C54" s="54"/>
      <c r="D54" s="530" t="s">
        <v>53</v>
      </c>
      <c r="E54" s="57"/>
      <c r="F54" s="57"/>
      <c r="G54" s="813" t="s">
        <v>54</v>
      </c>
      <c r="H54" s="814"/>
      <c r="I54" s="528" t="s">
        <v>55</v>
      </c>
      <c r="K54" s="442"/>
      <c r="L54" s="429" t="s">
        <v>41</v>
      </c>
      <c r="M54" s="944">
        <f>ROUND(M52*M55,-2)</f>
        <v>1100</v>
      </c>
      <c r="N54" s="945"/>
      <c r="O54" s="982"/>
      <c r="P54" s="983"/>
      <c r="Q54" s="440"/>
      <c r="R54" s="440"/>
      <c r="S54" s="515"/>
      <c r="T54" s="437"/>
    </row>
    <row r="55" spans="2:20" x14ac:dyDescent="0.25">
      <c r="B55" s="541" t="s">
        <v>63</v>
      </c>
      <c r="C55" s="542"/>
      <c r="D55" s="527" t="s">
        <v>65</v>
      </c>
      <c r="E55" s="527" t="s">
        <v>48</v>
      </c>
      <c r="F55" s="527" t="s">
        <v>408</v>
      </c>
      <c r="G55" s="527" t="s">
        <v>67</v>
      </c>
      <c r="H55" s="527" t="s">
        <v>68</v>
      </c>
      <c r="I55" s="66" t="s">
        <v>69</v>
      </c>
      <c r="J55" s="562"/>
      <c r="K55" s="443"/>
      <c r="L55" s="112" t="s">
        <v>136</v>
      </c>
      <c r="M55" s="988">
        <f>[4]Run!P45</f>
        <v>0.79563669153998484</v>
      </c>
      <c r="N55" s="989"/>
      <c r="O55" s="990"/>
      <c r="P55" s="941"/>
      <c r="Q55" s="517"/>
      <c r="R55" s="517"/>
      <c r="S55" s="518"/>
      <c r="T55" s="437"/>
    </row>
    <row r="56" spans="2:20" x14ac:dyDescent="0.25">
      <c r="B56" s="774" t="s">
        <v>72</v>
      </c>
      <c r="C56" s="446"/>
      <c r="D56" s="578"/>
      <c r="E56" s="775"/>
      <c r="F56" s="446"/>
      <c r="G56" s="578"/>
      <c r="H56" s="578" t="s">
        <v>72</v>
      </c>
      <c r="I56" s="608" t="s">
        <v>533</v>
      </c>
      <c r="J56" s="562"/>
      <c r="K56" s="597" t="s">
        <v>534</v>
      </c>
      <c r="L56" s="510"/>
      <c r="M56" s="977">
        <f>ROUND([4]Run!G44,-2)</f>
        <v>1200</v>
      </c>
      <c r="N56" s="939"/>
      <c r="O56" s="978"/>
      <c r="P56" s="943"/>
      <c r="Q56" s="772"/>
      <c r="R56" s="449"/>
      <c r="S56" s="521"/>
      <c r="T56" s="437"/>
    </row>
    <row r="57" spans="2:20" x14ac:dyDescent="0.25">
      <c r="B57" s="776" t="s">
        <v>72</v>
      </c>
      <c r="C57" s="621"/>
      <c r="D57" s="621"/>
      <c r="E57" s="621"/>
      <c r="F57" s="621"/>
      <c r="G57" s="621"/>
      <c r="H57" s="622" t="s">
        <v>72</v>
      </c>
      <c r="I57" s="623" t="s">
        <v>533</v>
      </c>
      <c r="J57" s="562"/>
      <c r="K57" s="442"/>
      <c r="L57" s="429" t="s">
        <v>110</v>
      </c>
      <c r="M57" s="944">
        <f>M56-M58</f>
        <v>200</v>
      </c>
      <c r="N57" s="945"/>
      <c r="O57" s="982"/>
      <c r="P57" s="983"/>
      <c r="Q57" s="440"/>
      <c r="R57" s="440"/>
      <c r="S57" s="515"/>
      <c r="T57" s="437"/>
    </row>
    <row r="58" spans="2:20" x14ac:dyDescent="0.25">
      <c r="B58" s="599" t="s">
        <v>47</v>
      </c>
      <c r="C58" s="600"/>
      <c r="D58" s="777"/>
      <c r="E58" s="777">
        <v>250000</v>
      </c>
      <c r="F58" s="777"/>
      <c r="G58" s="777">
        <f>[4]Run!P44</f>
        <v>521.14203295869015</v>
      </c>
      <c r="H58" s="601"/>
      <c r="I58" s="778"/>
      <c r="J58" s="562"/>
      <c r="K58" s="442"/>
      <c r="L58" s="429" t="s">
        <v>41</v>
      </c>
      <c r="M58" s="944">
        <f>ROUND(M56*M59,-2)</f>
        <v>1000</v>
      </c>
      <c r="N58" s="945"/>
      <c r="O58" s="982"/>
      <c r="P58" s="983"/>
      <c r="Q58" s="440"/>
      <c r="R58" s="440"/>
      <c r="S58" s="515"/>
      <c r="T58" s="437"/>
    </row>
    <row r="59" spans="2:20" x14ac:dyDescent="0.25">
      <c r="B59" s="97"/>
      <c r="C59" s="97"/>
      <c r="D59" s="779"/>
      <c r="E59" s="779"/>
      <c r="F59" s="779"/>
      <c r="G59" s="779"/>
      <c r="H59" s="780"/>
      <c r="I59" s="780"/>
      <c r="J59" s="562"/>
      <c r="K59" s="442"/>
      <c r="L59" s="429" t="s">
        <v>136</v>
      </c>
      <c r="M59" s="991">
        <f>M55</f>
        <v>0.79563669153998484</v>
      </c>
      <c r="N59" s="945"/>
      <c r="O59" s="992"/>
      <c r="P59" s="947"/>
      <c r="Q59" s="781"/>
      <c r="R59" s="781"/>
      <c r="S59" s="782"/>
      <c r="T59" s="437"/>
    </row>
    <row r="60" spans="2:20" x14ac:dyDescent="0.25">
      <c r="B60" s="97"/>
      <c r="C60" s="97"/>
      <c r="D60" s="779"/>
      <c r="E60" s="779"/>
      <c r="F60" s="779"/>
      <c r="G60" s="779"/>
      <c r="H60" s="780"/>
      <c r="I60" s="780"/>
      <c r="J60" s="562"/>
      <c r="K60" s="597" t="s">
        <v>535</v>
      </c>
      <c r="L60" s="510"/>
      <c r="M60" s="993">
        <f>[4]Run!N44</f>
        <v>674.8</v>
      </c>
      <c r="N60" s="939"/>
      <c r="O60" s="978"/>
      <c r="P60" s="943"/>
      <c r="Q60" s="783"/>
      <c r="R60" s="783"/>
      <c r="S60" s="784"/>
      <c r="T60" s="437"/>
    </row>
    <row r="61" spans="2:20" x14ac:dyDescent="0.25">
      <c r="B61" s="97"/>
      <c r="C61" s="97"/>
      <c r="D61" s="779"/>
      <c r="E61" s="779"/>
      <c r="F61" s="779"/>
      <c r="G61" s="779"/>
      <c r="H61" s="780"/>
      <c r="I61" s="780"/>
      <c r="J61" s="562"/>
      <c r="K61" s="442"/>
      <c r="L61" s="429" t="s">
        <v>110</v>
      </c>
      <c r="M61" s="944">
        <f>M60-M62</f>
        <v>174.79999999999995</v>
      </c>
      <c r="N61" s="945"/>
      <c r="O61" s="992"/>
      <c r="P61" s="947"/>
      <c r="Q61" s="429"/>
      <c r="R61" s="429"/>
      <c r="S61" s="529"/>
      <c r="T61" s="437"/>
    </row>
    <row r="62" spans="2:20" x14ac:dyDescent="0.25">
      <c r="B62" s="97"/>
      <c r="C62" s="97"/>
      <c r="D62" s="779"/>
      <c r="E62" s="779"/>
      <c r="F62" s="779"/>
      <c r="G62" s="779"/>
      <c r="H62" s="780"/>
      <c r="I62" s="780"/>
      <c r="J62" s="562"/>
      <c r="K62" s="442"/>
      <c r="L62" s="429" t="s">
        <v>41</v>
      </c>
      <c r="M62" s="944">
        <f>ROUND(M60*M63,-2)</f>
        <v>500</v>
      </c>
      <c r="N62" s="945"/>
      <c r="O62" s="992"/>
      <c r="P62" s="947"/>
      <c r="Q62" s="429"/>
      <c r="R62" s="429"/>
      <c r="S62" s="529"/>
      <c r="T62" s="437"/>
    </row>
    <row r="63" spans="2:20" x14ac:dyDescent="0.25">
      <c r="B63" s="97"/>
      <c r="C63" s="97"/>
      <c r="D63" s="779"/>
      <c r="E63" s="779"/>
      <c r="F63" s="779"/>
      <c r="G63" s="779"/>
      <c r="H63" s="780"/>
      <c r="I63" s="780"/>
      <c r="J63" s="562"/>
      <c r="K63" s="443"/>
      <c r="L63" s="112" t="s">
        <v>136</v>
      </c>
      <c r="M63" s="988">
        <f>M59</f>
        <v>0.79563669153998484</v>
      </c>
      <c r="N63" s="989"/>
      <c r="O63" s="990"/>
      <c r="P63" s="941"/>
      <c r="Q63" s="112"/>
      <c r="R63" s="112"/>
      <c r="S63" s="115"/>
      <c r="T63" s="437"/>
    </row>
    <row r="64" spans="2:20" x14ac:dyDescent="0.25">
      <c r="B64" s="97"/>
      <c r="C64" s="97"/>
      <c r="D64" s="97"/>
      <c r="E64" s="779"/>
      <c r="F64" s="779"/>
      <c r="G64" s="97"/>
      <c r="H64" s="780"/>
      <c r="I64" s="780"/>
      <c r="J64" s="562"/>
      <c r="K64" s="785" t="s">
        <v>227</v>
      </c>
      <c r="L64" s="447"/>
      <c r="M64" s="994">
        <f>[4]Run!F44</f>
        <v>85.8</v>
      </c>
      <c r="N64" s="994"/>
      <c r="O64" s="992"/>
      <c r="P64" s="947"/>
      <c r="Q64" s="440"/>
      <c r="R64" s="440"/>
      <c r="S64" s="515"/>
      <c r="T64" s="437"/>
    </row>
    <row r="65" spans="2:20" x14ac:dyDescent="0.25">
      <c r="B65" s="566"/>
      <c r="C65" s="566"/>
      <c r="D65" s="566"/>
      <c r="E65" s="566"/>
      <c r="F65" s="566"/>
      <c r="G65" s="566"/>
      <c r="H65" s="566"/>
      <c r="I65" s="566"/>
      <c r="J65" s="562"/>
      <c r="K65" s="445"/>
      <c r="L65" s="429" t="s">
        <v>110</v>
      </c>
      <c r="M65" s="944">
        <f>M64-M66</f>
        <v>17.799999999999997</v>
      </c>
      <c r="N65" s="945"/>
      <c r="O65" s="992"/>
      <c r="P65" s="947"/>
      <c r="Q65" s="440"/>
      <c r="R65" s="440"/>
      <c r="S65" s="515"/>
      <c r="T65" s="437"/>
    </row>
    <row r="66" spans="2:20" x14ac:dyDescent="0.25">
      <c r="B66" s="562"/>
      <c r="C66" s="562"/>
      <c r="D66" s="562"/>
      <c r="E66" s="562"/>
      <c r="F66" s="562"/>
      <c r="G66" s="562"/>
      <c r="H66" s="562"/>
      <c r="I66" s="562"/>
      <c r="J66" s="562"/>
      <c r="K66" s="445"/>
      <c r="L66" s="429" t="s">
        <v>41</v>
      </c>
      <c r="M66" s="944">
        <f>ROUND(M64*M67,0)</f>
        <v>68</v>
      </c>
      <c r="N66" s="945"/>
      <c r="O66" s="992"/>
      <c r="P66" s="947"/>
      <c r="Q66" s="440"/>
      <c r="R66" s="440"/>
      <c r="S66" s="515"/>
      <c r="T66" s="437"/>
    </row>
    <row r="67" spans="2:20" x14ac:dyDescent="0.25">
      <c r="B67" s="562"/>
      <c r="C67" s="562"/>
      <c r="D67" s="562"/>
      <c r="E67" s="562"/>
      <c r="F67" s="562"/>
      <c r="G67" s="562"/>
      <c r="H67" s="562"/>
      <c r="I67" s="562"/>
      <c r="J67" s="562"/>
      <c r="K67" s="443"/>
      <c r="L67" s="112" t="s">
        <v>136</v>
      </c>
      <c r="M67" s="988">
        <f>M55</f>
        <v>0.79563669153998484</v>
      </c>
      <c r="N67" s="989"/>
      <c r="O67" s="990"/>
      <c r="P67" s="941"/>
      <c r="Q67" s="517"/>
      <c r="R67" s="517"/>
      <c r="S67" s="518"/>
    </row>
    <row r="68" spans="2:20" x14ac:dyDescent="0.25">
      <c r="B68" s="562"/>
      <c r="C68" s="562"/>
      <c r="D68" s="562"/>
      <c r="E68" s="562"/>
      <c r="F68" s="562"/>
      <c r="G68" s="562"/>
      <c r="H68" s="562"/>
      <c r="I68" s="562"/>
      <c r="J68" s="562"/>
      <c r="T68" s="437"/>
    </row>
    <row r="69" spans="2:20" x14ac:dyDescent="0.25">
      <c r="T69" s="437"/>
    </row>
    <row r="70" spans="2:20" x14ac:dyDescent="0.25">
      <c r="T70" s="437"/>
    </row>
    <row r="71" spans="2:20" x14ac:dyDescent="0.25">
      <c r="T71" s="437"/>
    </row>
    <row r="72" spans="2:20" x14ac:dyDescent="0.25">
      <c r="T72" s="437"/>
    </row>
    <row r="73" spans="2:20" x14ac:dyDescent="0.25">
      <c r="T73" s="437"/>
    </row>
    <row r="74" spans="2:20" x14ac:dyDescent="0.25">
      <c r="T74" s="437"/>
    </row>
  </sheetData>
  <mergeCells count="53">
    <mergeCell ref="M66:N66"/>
    <mergeCell ref="O66:P66"/>
    <mergeCell ref="M67:N67"/>
    <mergeCell ref="O67:P67"/>
    <mergeCell ref="M63:N63"/>
    <mergeCell ref="O63:P63"/>
    <mergeCell ref="M64:N64"/>
    <mergeCell ref="O64:P64"/>
    <mergeCell ref="M65:N65"/>
    <mergeCell ref="O65:P65"/>
    <mergeCell ref="M60:N60"/>
    <mergeCell ref="O60:P60"/>
    <mergeCell ref="M61:N61"/>
    <mergeCell ref="O61:P61"/>
    <mergeCell ref="M62:N62"/>
    <mergeCell ref="O62:P62"/>
    <mergeCell ref="M57:N57"/>
    <mergeCell ref="O57:P57"/>
    <mergeCell ref="M58:N58"/>
    <mergeCell ref="O58:P58"/>
    <mergeCell ref="M59:N59"/>
    <mergeCell ref="O59:P59"/>
    <mergeCell ref="Q48:R48"/>
    <mergeCell ref="G54:H54"/>
    <mergeCell ref="M54:N54"/>
    <mergeCell ref="O54:P54"/>
    <mergeCell ref="M55:N55"/>
    <mergeCell ref="O55:P55"/>
    <mergeCell ref="M56:N56"/>
    <mergeCell ref="O56:P56"/>
    <mergeCell ref="K50:L51"/>
    <mergeCell ref="M50:P50"/>
    <mergeCell ref="O51:P51"/>
    <mergeCell ref="M52:N52"/>
    <mergeCell ref="O52:P52"/>
    <mergeCell ref="M53:N53"/>
    <mergeCell ref="O53:P53"/>
    <mergeCell ref="M43:N43"/>
    <mergeCell ref="Q43:R43"/>
    <mergeCell ref="B44:B49"/>
    <mergeCell ref="E44:E49"/>
    <mergeCell ref="K44:K48"/>
    <mergeCell ref="M44:N44"/>
    <mergeCell ref="Q44:R44"/>
    <mergeCell ref="M45:N45"/>
    <mergeCell ref="O45:O46"/>
    <mergeCell ref="P45:P46"/>
    <mergeCell ref="Q45:R45"/>
    <mergeCell ref="M46:N46"/>
    <mergeCell ref="Q46:R46"/>
    <mergeCell ref="M47:N47"/>
    <mergeCell ref="Q47:R47"/>
    <mergeCell ref="M48:N48"/>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C0CAE-D75A-441F-BC8E-DDE68E9A4D29}">
  <dimension ref="B1:W48"/>
  <sheetViews>
    <sheetView workbookViewId="0">
      <selection activeCell="J7" sqref="J7"/>
    </sheetView>
  </sheetViews>
  <sheetFormatPr defaultRowHeight="15" x14ac:dyDescent="0.25"/>
  <cols>
    <col min="1" max="1" width="4.28515625" style="420" customWidth="1"/>
    <col min="2" max="6" width="9.140625" style="429"/>
    <col min="7" max="8" width="12.28515625" style="429" customWidth="1"/>
    <col min="9" max="11" width="10" style="429" customWidth="1"/>
    <col min="12" max="21" width="9.140625" style="420"/>
    <col min="22" max="22" width="2.85546875" style="420" customWidth="1"/>
    <col min="23" max="16384" width="9.140625" style="420"/>
  </cols>
  <sheetData>
    <row r="1" spans="2:23" x14ac:dyDescent="0.25">
      <c r="M1" s="786" t="s">
        <v>536</v>
      </c>
    </row>
    <row r="2" spans="2:23" ht="30" x14ac:dyDescent="0.25">
      <c r="C2" s="787" t="s">
        <v>537</v>
      </c>
      <c r="D2" s="787" t="s">
        <v>538</v>
      </c>
      <c r="E2" s="787" t="s">
        <v>362</v>
      </c>
      <c r="F2" s="787" t="s">
        <v>187</v>
      </c>
      <c r="G2" s="787" t="s">
        <v>428</v>
      </c>
      <c r="H2" s="787"/>
      <c r="I2" s="787"/>
      <c r="J2" s="787"/>
      <c r="K2" s="787"/>
      <c r="L2" s="996"/>
      <c r="T2" s="563" t="s">
        <v>539</v>
      </c>
    </row>
    <row r="3" spans="2:23" ht="45" x14ac:dyDescent="0.25">
      <c r="C3" s="787" t="s">
        <v>540</v>
      </c>
      <c r="D3" s="787" t="s">
        <v>541</v>
      </c>
      <c r="E3" s="787" t="s">
        <v>542</v>
      </c>
      <c r="F3" s="787" t="s">
        <v>543</v>
      </c>
      <c r="G3" s="787" t="s">
        <v>442</v>
      </c>
      <c r="H3" s="787" t="s">
        <v>544</v>
      </c>
      <c r="I3" s="787" t="s">
        <v>187</v>
      </c>
      <c r="J3" s="787" t="s">
        <v>545</v>
      </c>
      <c r="K3" s="787" t="s">
        <v>546</v>
      </c>
      <c r="L3" s="996"/>
      <c r="M3" s="995" t="s">
        <v>547</v>
      </c>
      <c r="N3" s="995" t="s">
        <v>125</v>
      </c>
      <c r="O3" s="995" t="s">
        <v>548</v>
      </c>
      <c r="P3" s="995" t="s">
        <v>549</v>
      </c>
      <c r="Q3" s="995" t="s">
        <v>550</v>
      </c>
      <c r="R3" s="788" t="s">
        <v>551</v>
      </c>
      <c r="W3" s="420" t="s">
        <v>387</v>
      </c>
    </row>
    <row r="4" spans="2:23" ht="32.25" x14ac:dyDescent="0.25">
      <c r="C4" s="787" t="s">
        <v>552</v>
      </c>
      <c r="D4" s="789"/>
      <c r="E4" s="789"/>
      <c r="F4" s="789"/>
      <c r="G4" s="787" t="s">
        <v>553</v>
      </c>
      <c r="H4" s="787" t="s">
        <v>387</v>
      </c>
      <c r="I4" s="787" t="s">
        <v>443</v>
      </c>
      <c r="J4" s="787"/>
      <c r="K4" s="787"/>
      <c r="L4" s="790"/>
      <c r="M4" s="995"/>
      <c r="N4" s="995"/>
      <c r="O4" s="995"/>
      <c r="P4" s="995"/>
      <c r="Q4" s="995"/>
      <c r="R4" s="788" t="s">
        <v>554</v>
      </c>
      <c r="S4" s="450" t="s">
        <v>555</v>
      </c>
      <c r="T4" s="420" t="s">
        <v>556</v>
      </c>
      <c r="U4" s="420" t="s">
        <v>557</v>
      </c>
      <c r="W4" s="420" t="s">
        <v>558</v>
      </c>
    </row>
    <row r="5" spans="2:23" x14ac:dyDescent="0.25">
      <c r="B5" s="787">
        <v>1980</v>
      </c>
      <c r="C5" s="791">
        <v>107</v>
      </c>
      <c r="D5" s="791">
        <v>0</v>
      </c>
      <c r="E5" s="791">
        <v>1</v>
      </c>
      <c r="F5" s="791">
        <f>E5+D5</f>
        <v>1</v>
      </c>
      <c r="G5" s="791">
        <v>96</v>
      </c>
      <c r="H5" s="792">
        <f>G5/(C5-D5)</f>
        <v>0.89719626168224298</v>
      </c>
      <c r="I5" s="792"/>
      <c r="J5" s="792"/>
      <c r="K5" s="792"/>
      <c r="L5" s="790"/>
      <c r="T5" s="420">
        <f>G5-O5-P5-Q5-R5</f>
        <v>96</v>
      </c>
      <c r="U5" s="420">
        <f>C5-G5</f>
        <v>11</v>
      </c>
    </row>
    <row r="6" spans="2:23" x14ac:dyDescent="0.25">
      <c r="B6" s="787">
        <v>1981</v>
      </c>
      <c r="C6" s="791">
        <v>236</v>
      </c>
      <c r="D6" s="791">
        <v>0</v>
      </c>
      <c r="E6" s="791">
        <v>6</v>
      </c>
      <c r="F6" s="791">
        <f t="shared" ref="F6:F41" si="0">E6+D6</f>
        <v>6</v>
      </c>
      <c r="G6" s="791">
        <v>218</v>
      </c>
      <c r="H6" s="792">
        <f t="shared" ref="H6:H41" si="1">G6/(C6-D6)</f>
        <v>0.92372881355932202</v>
      </c>
      <c r="I6" s="792"/>
      <c r="J6" s="792"/>
      <c r="K6" s="792"/>
      <c r="L6" s="790"/>
      <c r="T6" s="420">
        <f t="shared" ref="T6:T41" si="2">G6-O6-P6-Q6-R6</f>
        <v>218</v>
      </c>
      <c r="U6" s="420">
        <f t="shared" ref="U6:U41" si="3">C6-G6</f>
        <v>18</v>
      </c>
    </row>
    <row r="7" spans="2:23" x14ac:dyDescent="0.25">
      <c r="B7" s="787">
        <v>1982</v>
      </c>
      <c r="C7" s="791">
        <v>257</v>
      </c>
      <c r="D7" s="791">
        <v>1</v>
      </c>
      <c r="E7" s="791">
        <v>4</v>
      </c>
      <c r="F7" s="791">
        <f t="shared" si="0"/>
        <v>5</v>
      </c>
      <c r="G7" s="791">
        <v>211</v>
      </c>
      <c r="H7" s="792">
        <f t="shared" si="1"/>
        <v>0.82421875</v>
      </c>
      <c r="I7" s="792"/>
      <c r="J7" s="792"/>
      <c r="K7" s="792"/>
      <c r="L7" s="790"/>
      <c r="T7" s="420">
        <f t="shared" si="2"/>
        <v>211</v>
      </c>
      <c r="U7" s="420">
        <f t="shared" si="3"/>
        <v>46</v>
      </c>
    </row>
    <row r="8" spans="2:23" x14ac:dyDescent="0.25">
      <c r="B8" s="787">
        <v>1983</v>
      </c>
      <c r="C8" s="791">
        <v>241</v>
      </c>
      <c r="D8" s="791">
        <v>0</v>
      </c>
      <c r="E8" s="791">
        <v>8</v>
      </c>
      <c r="F8" s="791">
        <f t="shared" si="0"/>
        <v>8</v>
      </c>
      <c r="G8" s="791">
        <v>216</v>
      </c>
      <c r="H8" s="792">
        <f t="shared" si="1"/>
        <v>0.89626556016597514</v>
      </c>
      <c r="I8" s="792"/>
      <c r="J8" s="792"/>
      <c r="K8" s="792"/>
      <c r="L8" s="790"/>
      <c r="T8" s="420">
        <f t="shared" si="2"/>
        <v>216</v>
      </c>
      <c r="U8" s="420">
        <f t="shared" si="3"/>
        <v>25</v>
      </c>
    </row>
    <row r="9" spans="2:23" x14ac:dyDescent="0.25">
      <c r="B9" s="787">
        <v>1984</v>
      </c>
      <c r="C9" s="791">
        <v>148</v>
      </c>
      <c r="D9" s="791">
        <v>9</v>
      </c>
      <c r="E9" s="791">
        <v>23</v>
      </c>
      <c r="F9" s="791">
        <f t="shared" si="0"/>
        <v>32</v>
      </c>
      <c r="G9" s="791">
        <v>105</v>
      </c>
      <c r="H9" s="792">
        <f t="shared" si="1"/>
        <v>0.75539568345323738</v>
      </c>
      <c r="I9" s="792"/>
      <c r="J9" s="792"/>
      <c r="K9" s="792"/>
      <c r="L9" s="790"/>
      <c r="T9" s="420">
        <f t="shared" si="2"/>
        <v>105</v>
      </c>
      <c r="U9" s="420">
        <f t="shared" si="3"/>
        <v>43</v>
      </c>
    </row>
    <row r="10" spans="2:23" x14ac:dyDescent="0.25">
      <c r="B10" s="787">
        <v>1985</v>
      </c>
      <c r="C10" s="791">
        <v>59</v>
      </c>
      <c r="D10" s="791">
        <v>10</v>
      </c>
      <c r="E10" s="791">
        <v>15</v>
      </c>
      <c r="F10" s="791">
        <f t="shared" si="0"/>
        <v>25</v>
      </c>
      <c r="G10" s="791">
        <v>35</v>
      </c>
      <c r="H10" s="792">
        <f t="shared" si="1"/>
        <v>0.7142857142857143</v>
      </c>
      <c r="I10" s="792"/>
      <c r="J10" s="792"/>
      <c r="K10" s="792"/>
      <c r="L10" s="790"/>
      <c r="T10" s="420">
        <f t="shared" si="2"/>
        <v>35</v>
      </c>
      <c r="U10" s="420">
        <f t="shared" si="3"/>
        <v>24</v>
      </c>
    </row>
    <row r="11" spans="2:23" x14ac:dyDescent="0.25">
      <c r="B11" s="787">
        <v>1986</v>
      </c>
      <c r="C11" s="791">
        <v>24</v>
      </c>
      <c r="D11" s="791">
        <v>1</v>
      </c>
      <c r="E11" s="791">
        <v>3</v>
      </c>
      <c r="F11" s="791">
        <f t="shared" si="0"/>
        <v>4</v>
      </c>
      <c r="G11" s="791">
        <v>20</v>
      </c>
      <c r="H11" s="792">
        <f t="shared" si="1"/>
        <v>0.86956521739130432</v>
      </c>
      <c r="I11" s="792"/>
      <c r="J11" s="792"/>
      <c r="K11" s="792"/>
      <c r="L11" s="790"/>
      <c r="T11" s="420">
        <f t="shared" si="2"/>
        <v>20</v>
      </c>
      <c r="U11" s="420">
        <f t="shared" si="3"/>
        <v>4</v>
      </c>
    </row>
    <row r="12" spans="2:23" x14ac:dyDescent="0.25">
      <c r="B12" s="787">
        <v>1987</v>
      </c>
      <c r="C12" s="791">
        <v>55</v>
      </c>
      <c r="D12" s="791">
        <v>11</v>
      </c>
      <c r="E12" s="791">
        <v>15</v>
      </c>
      <c r="F12" s="791">
        <f t="shared" si="0"/>
        <v>26</v>
      </c>
      <c r="G12" s="791">
        <v>29</v>
      </c>
      <c r="H12" s="792">
        <f t="shared" si="1"/>
        <v>0.65909090909090906</v>
      </c>
      <c r="I12" s="792"/>
      <c r="J12" s="792"/>
      <c r="K12" s="792"/>
      <c r="L12" s="790"/>
      <c r="T12" s="420">
        <f t="shared" si="2"/>
        <v>29</v>
      </c>
      <c r="U12" s="420">
        <f t="shared" si="3"/>
        <v>26</v>
      </c>
    </row>
    <row r="13" spans="2:23" x14ac:dyDescent="0.25">
      <c r="B13" s="787">
        <v>1988</v>
      </c>
      <c r="C13" s="791">
        <v>45</v>
      </c>
      <c r="D13" s="791">
        <v>8</v>
      </c>
      <c r="E13" s="791">
        <v>14</v>
      </c>
      <c r="F13" s="791">
        <f t="shared" si="0"/>
        <v>22</v>
      </c>
      <c r="G13" s="791">
        <v>23</v>
      </c>
      <c r="H13" s="792">
        <f t="shared" si="1"/>
        <v>0.6216216216216216</v>
      </c>
      <c r="I13" s="792"/>
      <c r="J13" s="792"/>
      <c r="K13" s="792"/>
      <c r="L13" s="790"/>
      <c r="T13" s="420">
        <f t="shared" si="2"/>
        <v>23</v>
      </c>
      <c r="U13" s="420">
        <f t="shared" si="3"/>
        <v>22</v>
      </c>
    </row>
    <row r="14" spans="2:23" x14ac:dyDescent="0.25">
      <c r="B14" s="787">
        <v>1989</v>
      </c>
      <c r="C14" s="791">
        <v>4</v>
      </c>
      <c r="D14" s="791">
        <v>0</v>
      </c>
      <c r="E14" s="791">
        <v>0</v>
      </c>
      <c r="F14" s="791">
        <f t="shared" si="0"/>
        <v>0</v>
      </c>
      <c r="G14" s="791">
        <v>4</v>
      </c>
      <c r="H14" s="792">
        <f t="shared" si="1"/>
        <v>1</v>
      </c>
      <c r="I14" s="792"/>
      <c r="J14" s="792"/>
      <c r="K14" s="792"/>
      <c r="L14" s="790"/>
      <c r="T14" s="420">
        <f t="shared" si="2"/>
        <v>4</v>
      </c>
      <c r="U14" s="420">
        <f t="shared" si="3"/>
        <v>0</v>
      </c>
    </row>
    <row r="15" spans="2:23" x14ac:dyDescent="0.25">
      <c r="B15" s="787">
        <v>1990</v>
      </c>
      <c r="C15" s="791">
        <v>1</v>
      </c>
      <c r="D15" s="791">
        <v>0</v>
      </c>
      <c r="E15" s="791">
        <v>0</v>
      </c>
      <c r="F15" s="791">
        <f t="shared" si="0"/>
        <v>0</v>
      </c>
      <c r="G15" s="791">
        <v>1</v>
      </c>
      <c r="H15" s="792">
        <f t="shared" si="1"/>
        <v>1</v>
      </c>
      <c r="I15" s="792"/>
      <c r="J15" s="792"/>
      <c r="K15" s="792"/>
      <c r="L15" s="790"/>
      <c r="T15" s="420">
        <f t="shared" si="2"/>
        <v>1</v>
      </c>
      <c r="U15" s="420">
        <f t="shared" si="3"/>
        <v>0</v>
      </c>
    </row>
    <row r="16" spans="2:23" x14ac:dyDescent="0.25">
      <c r="B16" s="787">
        <v>1991</v>
      </c>
      <c r="C16" s="791">
        <v>10</v>
      </c>
      <c r="D16" s="791">
        <v>0</v>
      </c>
      <c r="E16" s="791">
        <v>0</v>
      </c>
      <c r="F16" s="791">
        <f t="shared" si="0"/>
        <v>0</v>
      </c>
      <c r="G16" s="791">
        <v>9</v>
      </c>
      <c r="H16" s="792">
        <f t="shared" si="1"/>
        <v>0.9</v>
      </c>
      <c r="I16" s="792"/>
      <c r="J16" s="792"/>
      <c r="K16" s="792"/>
      <c r="L16" s="790"/>
      <c r="T16" s="420">
        <f t="shared" si="2"/>
        <v>9</v>
      </c>
      <c r="U16" s="420">
        <f t="shared" si="3"/>
        <v>1</v>
      </c>
    </row>
    <row r="17" spans="2:23" x14ac:dyDescent="0.25">
      <c r="B17" s="787">
        <v>1992</v>
      </c>
      <c r="C17" s="791">
        <v>2</v>
      </c>
      <c r="D17" s="791">
        <v>0</v>
      </c>
      <c r="E17" s="791">
        <v>0</v>
      </c>
      <c r="F17" s="791">
        <f t="shared" si="0"/>
        <v>0</v>
      </c>
      <c r="G17" s="791">
        <v>2</v>
      </c>
      <c r="H17" s="792">
        <f t="shared" si="1"/>
        <v>1</v>
      </c>
      <c r="I17" s="792"/>
      <c r="J17" s="792"/>
      <c r="K17" s="792"/>
      <c r="L17" s="790"/>
      <c r="T17" s="420">
        <f t="shared" si="2"/>
        <v>2</v>
      </c>
      <c r="U17" s="420">
        <f t="shared" si="3"/>
        <v>0</v>
      </c>
    </row>
    <row r="18" spans="2:23" x14ac:dyDescent="0.25">
      <c r="B18" s="787">
        <v>1993</v>
      </c>
      <c r="C18" s="791">
        <v>18</v>
      </c>
      <c r="D18" s="791">
        <v>0</v>
      </c>
      <c r="E18" s="791">
        <v>1</v>
      </c>
      <c r="F18" s="791">
        <f t="shared" si="0"/>
        <v>1</v>
      </c>
      <c r="G18" s="791">
        <v>17</v>
      </c>
      <c r="H18" s="792">
        <f t="shared" si="1"/>
        <v>0.94444444444444442</v>
      </c>
      <c r="I18" s="792"/>
      <c r="J18" s="792"/>
      <c r="K18" s="792"/>
      <c r="L18" s="790"/>
      <c r="T18" s="420">
        <f t="shared" si="2"/>
        <v>17</v>
      </c>
      <c r="U18" s="420">
        <f t="shared" si="3"/>
        <v>1</v>
      </c>
    </row>
    <row r="19" spans="2:23" x14ac:dyDescent="0.25">
      <c r="B19" s="787">
        <v>1994</v>
      </c>
      <c r="C19" s="791">
        <v>3</v>
      </c>
      <c r="D19" s="791">
        <v>0</v>
      </c>
      <c r="E19" s="791">
        <v>0</v>
      </c>
      <c r="F19" s="791">
        <f t="shared" si="0"/>
        <v>0</v>
      </c>
      <c r="G19" s="791">
        <v>3</v>
      </c>
      <c r="H19" s="792">
        <f t="shared" si="1"/>
        <v>1</v>
      </c>
      <c r="I19" s="792"/>
      <c r="J19" s="792"/>
      <c r="K19" s="792"/>
      <c r="L19" s="790"/>
      <c r="T19" s="420">
        <f t="shared" si="2"/>
        <v>3</v>
      </c>
      <c r="U19" s="420">
        <f t="shared" si="3"/>
        <v>0</v>
      </c>
    </row>
    <row r="20" spans="2:23" x14ac:dyDescent="0.25">
      <c r="B20" s="787">
        <v>1995</v>
      </c>
      <c r="C20" s="791">
        <v>5</v>
      </c>
      <c r="D20" s="791">
        <v>0</v>
      </c>
      <c r="E20" s="791">
        <v>0</v>
      </c>
      <c r="F20" s="791">
        <f t="shared" si="0"/>
        <v>0</v>
      </c>
      <c r="G20" s="791">
        <v>5</v>
      </c>
      <c r="H20" s="792">
        <f t="shared" si="1"/>
        <v>1</v>
      </c>
      <c r="I20" s="792"/>
      <c r="J20" s="792"/>
      <c r="K20" s="792"/>
      <c r="L20" s="790"/>
      <c r="T20" s="420">
        <f t="shared" si="2"/>
        <v>5</v>
      </c>
      <c r="U20" s="420">
        <f t="shared" si="3"/>
        <v>0</v>
      </c>
    </row>
    <row r="21" spans="2:23" x14ac:dyDescent="0.25">
      <c r="B21" s="787">
        <v>1996</v>
      </c>
      <c r="C21" s="791">
        <v>3</v>
      </c>
      <c r="D21" s="791">
        <v>0</v>
      </c>
      <c r="E21" s="791">
        <v>0</v>
      </c>
      <c r="F21" s="791">
        <f t="shared" si="0"/>
        <v>0</v>
      </c>
      <c r="G21" s="791">
        <v>3</v>
      </c>
      <c r="H21" s="792">
        <f t="shared" si="1"/>
        <v>1</v>
      </c>
      <c r="I21" s="792"/>
      <c r="J21" s="792"/>
      <c r="K21" s="792"/>
      <c r="L21" s="790"/>
      <c r="T21" s="420">
        <f t="shared" si="2"/>
        <v>3</v>
      </c>
      <c r="U21" s="420">
        <f t="shared" si="3"/>
        <v>0</v>
      </c>
    </row>
    <row r="22" spans="2:23" x14ac:dyDescent="0.25">
      <c r="B22" s="787">
        <v>1997</v>
      </c>
      <c r="C22" s="791">
        <v>18</v>
      </c>
      <c r="D22" s="791">
        <v>0</v>
      </c>
      <c r="E22" s="791">
        <v>1</v>
      </c>
      <c r="F22" s="791">
        <f t="shared" si="0"/>
        <v>1</v>
      </c>
      <c r="G22" s="791">
        <v>17</v>
      </c>
      <c r="H22" s="792">
        <f t="shared" si="1"/>
        <v>0.94444444444444442</v>
      </c>
      <c r="I22" s="792"/>
      <c r="J22" s="792"/>
      <c r="K22" s="792"/>
      <c r="L22" s="790"/>
      <c r="T22" s="420">
        <f t="shared" si="2"/>
        <v>17</v>
      </c>
      <c r="U22" s="420">
        <f t="shared" si="3"/>
        <v>1</v>
      </c>
    </row>
    <row r="23" spans="2:23" x14ac:dyDescent="0.25">
      <c r="B23" s="787">
        <v>1998</v>
      </c>
      <c r="C23" s="791">
        <v>4</v>
      </c>
      <c r="D23" s="791">
        <v>0</v>
      </c>
      <c r="E23" s="791">
        <v>0</v>
      </c>
      <c r="F23" s="791">
        <f t="shared" si="0"/>
        <v>0</v>
      </c>
      <c r="G23" s="791">
        <v>3</v>
      </c>
      <c r="H23" s="792">
        <f t="shared" si="1"/>
        <v>0.75</v>
      </c>
      <c r="I23" s="792"/>
      <c r="J23" s="792"/>
      <c r="K23" s="792"/>
      <c r="L23" s="790"/>
      <c r="T23" s="420">
        <f t="shared" si="2"/>
        <v>3</v>
      </c>
      <c r="U23" s="420">
        <f t="shared" si="3"/>
        <v>1</v>
      </c>
    </row>
    <row r="24" spans="2:23" ht="16.5" x14ac:dyDescent="0.25">
      <c r="B24" s="787">
        <v>1999</v>
      </c>
      <c r="C24" s="791">
        <v>19</v>
      </c>
      <c r="D24" s="791">
        <v>0</v>
      </c>
      <c r="E24" s="791">
        <v>1</v>
      </c>
      <c r="F24" s="791">
        <f t="shared" si="0"/>
        <v>1</v>
      </c>
      <c r="G24" s="791">
        <v>18</v>
      </c>
      <c r="H24" s="792">
        <f t="shared" si="1"/>
        <v>0.94736842105263153</v>
      </c>
      <c r="I24" s="792"/>
      <c r="J24" s="792"/>
      <c r="K24" s="792"/>
      <c r="L24" s="790"/>
      <c r="M24" s="793">
        <v>1999</v>
      </c>
      <c r="N24" s="793">
        <v>7</v>
      </c>
      <c r="O24" s="793">
        <v>0</v>
      </c>
      <c r="P24" s="793">
        <v>7</v>
      </c>
      <c r="Q24" s="793">
        <v>0</v>
      </c>
      <c r="R24" s="793">
        <v>0</v>
      </c>
      <c r="T24" s="420">
        <f t="shared" si="2"/>
        <v>11</v>
      </c>
      <c r="U24" s="420">
        <f t="shared" si="3"/>
        <v>1</v>
      </c>
      <c r="W24" s="454">
        <f>N24/G24</f>
        <v>0.3888888888888889</v>
      </c>
    </row>
    <row r="25" spans="2:23" ht="16.5" x14ac:dyDescent="0.25">
      <c r="B25" s="787">
        <v>2000</v>
      </c>
      <c r="C25" s="791">
        <v>352</v>
      </c>
      <c r="D25" s="791">
        <v>1</v>
      </c>
      <c r="E25" s="791">
        <v>11</v>
      </c>
      <c r="F25" s="791">
        <f t="shared" si="0"/>
        <v>12</v>
      </c>
      <c r="G25" s="791">
        <v>337</v>
      </c>
      <c r="H25" s="792">
        <f t="shared" si="1"/>
        <v>0.96011396011396011</v>
      </c>
      <c r="I25" s="792"/>
      <c r="J25" s="792"/>
      <c r="K25" s="792"/>
      <c r="L25" s="790"/>
      <c r="M25" s="793">
        <v>2000</v>
      </c>
      <c r="N25" s="793">
        <v>257</v>
      </c>
      <c r="O25" s="793">
        <v>10</v>
      </c>
      <c r="P25" s="793">
        <v>233</v>
      </c>
      <c r="Q25" s="793">
        <v>0</v>
      </c>
      <c r="R25" s="793">
        <v>14</v>
      </c>
      <c r="T25" s="420">
        <f t="shared" si="2"/>
        <v>80</v>
      </c>
      <c r="U25" s="420">
        <f t="shared" si="3"/>
        <v>15</v>
      </c>
      <c r="W25" s="454">
        <f t="shared" ref="W25:W41" si="4">N25/G25</f>
        <v>0.76261127596439171</v>
      </c>
    </row>
    <row r="26" spans="2:23" ht="16.5" x14ac:dyDescent="0.25">
      <c r="B26" s="787">
        <v>2001</v>
      </c>
      <c r="C26" s="791">
        <v>49</v>
      </c>
      <c r="D26" s="791">
        <v>1</v>
      </c>
      <c r="E26" s="791">
        <v>3</v>
      </c>
      <c r="F26" s="791">
        <f t="shared" si="0"/>
        <v>4</v>
      </c>
      <c r="G26" s="791">
        <v>45</v>
      </c>
      <c r="H26" s="792">
        <f t="shared" si="1"/>
        <v>0.9375</v>
      </c>
      <c r="I26" s="792"/>
      <c r="J26" s="792"/>
      <c r="K26" s="792"/>
      <c r="L26" s="790"/>
      <c r="M26" s="793">
        <v>2001</v>
      </c>
      <c r="N26" s="793">
        <v>26</v>
      </c>
      <c r="O26" s="793">
        <v>4</v>
      </c>
      <c r="P26" s="793">
        <v>19</v>
      </c>
      <c r="Q26" s="793">
        <v>0</v>
      </c>
      <c r="R26" s="793">
        <v>3</v>
      </c>
      <c r="T26" s="420">
        <f t="shared" si="2"/>
        <v>19</v>
      </c>
      <c r="U26" s="420">
        <f t="shared" si="3"/>
        <v>4</v>
      </c>
      <c r="W26" s="454">
        <f t="shared" si="4"/>
        <v>0.57777777777777772</v>
      </c>
    </row>
    <row r="27" spans="2:23" ht="16.5" x14ac:dyDescent="0.25">
      <c r="B27" s="787">
        <v>2002</v>
      </c>
      <c r="C27" s="791">
        <v>77</v>
      </c>
      <c r="D27" s="791">
        <v>0</v>
      </c>
      <c r="E27" s="791">
        <v>4</v>
      </c>
      <c r="F27" s="791">
        <f t="shared" si="0"/>
        <v>4</v>
      </c>
      <c r="G27" s="791">
        <v>73</v>
      </c>
      <c r="H27" s="792">
        <f t="shared" si="1"/>
        <v>0.94805194805194803</v>
      </c>
      <c r="I27" s="792"/>
      <c r="J27" s="792"/>
      <c r="K27" s="792"/>
      <c r="L27" s="790"/>
      <c r="M27" s="793">
        <v>2002</v>
      </c>
      <c r="N27" s="793">
        <v>22</v>
      </c>
      <c r="O27" s="793">
        <v>6</v>
      </c>
      <c r="P27" s="793">
        <v>9</v>
      </c>
      <c r="Q27" s="793">
        <v>1</v>
      </c>
      <c r="R27" s="793">
        <v>7</v>
      </c>
      <c r="T27" s="420">
        <f t="shared" si="2"/>
        <v>50</v>
      </c>
      <c r="U27" s="420">
        <f t="shared" si="3"/>
        <v>4</v>
      </c>
      <c r="W27" s="454">
        <f t="shared" si="4"/>
        <v>0.30136986301369861</v>
      </c>
    </row>
    <row r="28" spans="2:23" ht="16.5" x14ac:dyDescent="0.25">
      <c r="B28" s="787">
        <v>2003</v>
      </c>
      <c r="C28" s="791">
        <v>28</v>
      </c>
      <c r="D28" s="791">
        <v>0</v>
      </c>
      <c r="E28" s="791">
        <v>1</v>
      </c>
      <c r="F28" s="791">
        <f t="shared" si="0"/>
        <v>1</v>
      </c>
      <c r="G28" s="791">
        <v>26</v>
      </c>
      <c r="H28" s="792">
        <f t="shared" si="1"/>
        <v>0.9285714285714286</v>
      </c>
      <c r="I28" s="792"/>
      <c r="J28" s="792"/>
      <c r="K28" s="792"/>
      <c r="L28" s="790"/>
      <c r="M28" s="793">
        <v>2003</v>
      </c>
      <c r="N28" s="793">
        <v>3</v>
      </c>
      <c r="O28" s="793">
        <v>0</v>
      </c>
      <c r="P28" s="793">
        <v>2</v>
      </c>
      <c r="Q28" s="793">
        <v>0</v>
      </c>
      <c r="R28" s="793">
        <v>1</v>
      </c>
      <c r="T28" s="420">
        <f t="shared" si="2"/>
        <v>23</v>
      </c>
      <c r="U28" s="420">
        <f t="shared" si="3"/>
        <v>2</v>
      </c>
      <c r="W28" s="454">
        <f t="shared" si="4"/>
        <v>0.11538461538461539</v>
      </c>
    </row>
    <row r="29" spans="2:23" ht="16.5" x14ac:dyDescent="0.25">
      <c r="B29" s="787">
        <v>2004</v>
      </c>
      <c r="C29" s="791">
        <v>117</v>
      </c>
      <c r="D29" s="791">
        <v>1</v>
      </c>
      <c r="E29" s="791">
        <v>4</v>
      </c>
      <c r="F29" s="791">
        <f t="shared" si="0"/>
        <v>5</v>
      </c>
      <c r="G29" s="791">
        <v>113</v>
      </c>
      <c r="H29" s="792">
        <f t="shared" si="1"/>
        <v>0.97413793103448276</v>
      </c>
      <c r="I29" s="792"/>
      <c r="J29" s="792"/>
      <c r="K29" s="792"/>
      <c r="L29" s="790"/>
      <c r="M29" s="793">
        <v>2004</v>
      </c>
      <c r="N29" s="793">
        <v>27</v>
      </c>
      <c r="O29" s="793">
        <v>4</v>
      </c>
      <c r="P29" s="793">
        <v>20</v>
      </c>
      <c r="Q29" s="793">
        <v>0</v>
      </c>
      <c r="R29" s="793">
        <v>3</v>
      </c>
      <c r="T29" s="420">
        <f t="shared" si="2"/>
        <v>86</v>
      </c>
      <c r="U29" s="420">
        <f t="shared" si="3"/>
        <v>4</v>
      </c>
      <c r="W29" s="454">
        <f t="shared" si="4"/>
        <v>0.23893805309734514</v>
      </c>
    </row>
    <row r="30" spans="2:23" ht="16.5" x14ac:dyDescent="0.25">
      <c r="B30" s="787">
        <v>2005</v>
      </c>
      <c r="C30" s="791">
        <v>20</v>
      </c>
      <c r="D30" s="791">
        <v>0</v>
      </c>
      <c r="E30" s="791">
        <v>1</v>
      </c>
      <c r="F30" s="791">
        <f t="shared" si="0"/>
        <v>1</v>
      </c>
      <c r="G30" s="791">
        <v>19</v>
      </c>
      <c r="H30" s="792">
        <f t="shared" si="1"/>
        <v>0.95</v>
      </c>
      <c r="I30" s="792"/>
      <c r="J30" s="792"/>
      <c r="K30" s="792"/>
      <c r="L30" s="790"/>
      <c r="M30" s="793">
        <v>2005</v>
      </c>
      <c r="N30" s="793">
        <v>6</v>
      </c>
      <c r="O30" s="793">
        <v>2</v>
      </c>
      <c r="P30" s="793">
        <v>4</v>
      </c>
      <c r="Q30" s="793">
        <v>0</v>
      </c>
      <c r="R30" s="793">
        <v>0</v>
      </c>
      <c r="T30" s="420">
        <f t="shared" si="2"/>
        <v>13</v>
      </c>
      <c r="U30" s="420">
        <f t="shared" si="3"/>
        <v>1</v>
      </c>
      <c r="W30" s="454">
        <f t="shared" si="4"/>
        <v>0.31578947368421051</v>
      </c>
    </row>
    <row r="31" spans="2:23" ht="16.5" x14ac:dyDescent="0.25">
      <c r="B31" s="787">
        <v>2006</v>
      </c>
      <c r="C31" s="791">
        <v>60</v>
      </c>
      <c r="D31" s="791">
        <v>0</v>
      </c>
      <c r="E31" s="791">
        <v>3</v>
      </c>
      <c r="F31" s="791">
        <f t="shared" si="0"/>
        <v>3</v>
      </c>
      <c r="G31" s="791">
        <v>16</v>
      </c>
      <c r="H31" s="792">
        <f t="shared" si="1"/>
        <v>0.26666666666666666</v>
      </c>
      <c r="I31" s="792"/>
      <c r="J31" s="792"/>
      <c r="K31" s="792"/>
      <c r="L31" s="790"/>
      <c r="M31" s="793">
        <v>2006</v>
      </c>
      <c r="N31" s="793">
        <v>3</v>
      </c>
      <c r="O31" s="793">
        <v>1</v>
      </c>
      <c r="P31" s="793">
        <v>2</v>
      </c>
      <c r="Q31" s="793">
        <v>0</v>
      </c>
      <c r="R31" s="793">
        <v>0</v>
      </c>
      <c r="T31" s="420">
        <f t="shared" si="2"/>
        <v>13</v>
      </c>
      <c r="U31" s="420">
        <f t="shared" si="3"/>
        <v>44</v>
      </c>
      <c r="W31" s="454">
        <f t="shared" si="4"/>
        <v>0.1875</v>
      </c>
    </row>
    <row r="32" spans="2:23" ht="16.5" x14ac:dyDescent="0.25">
      <c r="B32" s="787">
        <v>2007</v>
      </c>
      <c r="C32" s="791">
        <v>58</v>
      </c>
      <c r="D32" s="791">
        <v>0</v>
      </c>
      <c r="E32" s="791">
        <v>3</v>
      </c>
      <c r="F32" s="791">
        <f t="shared" si="0"/>
        <v>3</v>
      </c>
      <c r="G32" s="791">
        <v>55</v>
      </c>
      <c r="H32" s="792">
        <f t="shared" si="1"/>
        <v>0.94827586206896552</v>
      </c>
      <c r="I32" s="794">
        <f t="shared" ref="I32:I40" si="5">(D32+E32)/C32</f>
        <v>5.1724137931034482E-2</v>
      </c>
      <c r="J32" s="794">
        <f>D32/$C32</f>
        <v>0</v>
      </c>
      <c r="K32" s="794">
        <f>E32/$C32</f>
        <v>5.1724137931034482E-2</v>
      </c>
      <c r="L32" s="790"/>
      <c r="M32" s="793">
        <v>2007</v>
      </c>
      <c r="N32" s="793">
        <v>4</v>
      </c>
      <c r="O32" s="793">
        <v>3</v>
      </c>
      <c r="P32" s="793">
        <v>1</v>
      </c>
      <c r="Q32" s="793">
        <v>0</v>
      </c>
      <c r="R32" s="793">
        <v>0</v>
      </c>
      <c r="T32" s="420">
        <f t="shared" si="2"/>
        <v>51</v>
      </c>
      <c r="U32" s="420">
        <f t="shared" si="3"/>
        <v>3</v>
      </c>
      <c r="W32" s="454">
        <f t="shared" si="4"/>
        <v>7.2727272727272724E-2</v>
      </c>
    </row>
    <row r="33" spans="2:23" ht="16.5" x14ac:dyDescent="0.25">
      <c r="B33" s="787">
        <v>2008</v>
      </c>
      <c r="C33" s="791">
        <v>978</v>
      </c>
      <c r="D33" s="791">
        <v>4</v>
      </c>
      <c r="E33" s="791">
        <v>41</v>
      </c>
      <c r="F33" s="791">
        <f t="shared" si="0"/>
        <v>45</v>
      </c>
      <c r="G33" s="791">
        <v>907</v>
      </c>
      <c r="H33" s="792">
        <f t="shared" si="1"/>
        <v>0.93121149897330591</v>
      </c>
      <c r="I33" s="794">
        <f t="shared" si="5"/>
        <v>4.6012269938650305E-2</v>
      </c>
      <c r="J33" s="794">
        <f t="shared" ref="J33:K41" si="6">D33/$C33</f>
        <v>4.0899795501022499E-3</v>
      </c>
      <c r="K33" s="794">
        <f t="shared" si="6"/>
        <v>4.1922290388548056E-2</v>
      </c>
      <c r="L33" s="790"/>
      <c r="M33" s="793">
        <v>2008</v>
      </c>
      <c r="N33" s="793">
        <v>646</v>
      </c>
      <c r="O33" s="793">
        <v>140</v>
      </c>
      <c r="P33" s="793">
        <v>456</v>
      </c>
      <c r="Q33" s="793">
        <v>1</v>
      </c>
      <c r="R33" s="793">
        <v>50</v>
      </c>
      <c r="S33" s="454">
        <f t="shared" ref="S33:S38" si="7">(P33+Q33)/N33</f>
        <v>0.70743034055727549</v>
      </c>
      <c r="T33" s="420">
        <f t="shared" si="2"/>
        <v>260</v>
      </c>
      <c r="U33" s="420">
        <f t="shared" si="3"/>
        <v>71</v>
      </c>
      <c r="W33" s="454">
        <f t="shared" si="4"/>
        <v>0.71223814773980154</v>
      </c>
    </row>
    <row r="34" spans="2:23" ht="16.5" x14ac:dyDescent="0.25">
      <c r="B34" s="787">
        <v>2009</v>
      </c>
      <c r="C34" s="795">
        <v>1490</v>
      </c>
      <c r="D34" s="791">
        <v>10</v>
      </c>
      <c r="E34" s="791">
        <v>81</v>
      </c>
      <c r="F34" s="791">
        <f t="shared" si="0"/>
        <v>91</v>
      </c>
      <c r="G34" s="795">
        <v>1406</v>
      </c>
      <c r="H34" s="792">
        <f t="shared" si="1"/>
        <v>0.95</v>
      </c>
      <c r="I34" s="794">
        <f t="shared" si="5"/>
        <v>6.1073825503355703E-2</v>
      </c>
      <c r="J34" s="794">
        <f t="shared" si="6"/>
        <v>6.7114093959731542E-3</v>
      </c>
      <c r="K34" s="794">
        <f t="shared" si="6"/>
        <v>5.4362416107382551E-2</v>
      </c>
      <c r="L34" s="790"/>
      <c r="M34" s="793">
        <v>2009</v>
      </c>
      <c r="N34" s="793">
        <v>832</v>
      </c>
      <c r="O34" s="793">
        <v>86</v>
      </c>
      <c r="P34" s="793">
        <v>730</v>
      </c>
      <c r="Q34" s="793">
        <v>2</v>
      </c>
      <c r="R34" s="793">
        <v>16</v>
      </c>
      <c r="S34" s="454">
        <f t="shared" si="7"/>
        <v>0.87980769230769229</v>
      </c>
      <c r="T34" s="420">
        <f t="shared" si="2"/>
        <v>572</v>
      </c>
      <c r="U34" s="420">
        <f t="shared" si="3"/>
        <v>84</v>
      </c>
      <c r="W34" s="454">
        <f t="shared" si="4"/>
        <v>0.59174964438122335</v>
      </c>
    </row>
    <row r="35" spans="2:23" ht="16.5" x14ac:dyDescent="0.25">
      <c r="B35" s="787">
        <v>2010</v>
      </c>
      <c r="C35" s="795">
        <v>2565</v>
      </c>
      <c r="D35" s="791">
        <v>3</v>
      </c>
      <c r="E35" s="791">
        <v>172</v>
      </c>
      <c r="F35" s="791">
        <f t="shared" si="0"/>
        <v>175</v>
      </c>
      <c r="G35" s="795">
        <v>2406</v>
      </c>
      <c r="H35" s="792">
        <f t="shared" si="1"/>
        <v>0.93911007025761128</v>
      </c>
      <c r="I35" s="794">
        <f t="shared" si="5"/>
        <v>6.8226120857699801E-2</v>
      </c>
      <c r="J35" s="794">
        <f t="shared" si="6"/>
        <v>1.1695906432748538E-3</v>
      </c>
      <c r="K35" s="794">
        <f t="shared" si="6"/>
        <v>6.7056530214424953E-2</v>
      </c>
      <c r="L35" s="790"/>
      <c r="M35" s="793">
        <v>2010</v>
      </c>
      <c r="N35" s="796">
        <v>1355</v>
      </c>
      <c r="O35" s="793">
        <v>178</v>
      </c>
      <c r="P35" s="796">
        <v>1144</v>
      </c>
      <c r="Q35" s="793">
        <v>14</v>
      </c>
      <c r="R35" s="793">
        <v>33</v>
      </c>
      <c r="S35" s="454">
        <f t="shared" si="7"/>
        <v>0.85461254612546123</v>
      </c>
      <c r="T35" s="420">
        <f t="shared" si="2"/>
        <v>1037</v>
      </c>
      <c r="U35" s="420">
        <f t="shared" si="3"/>
        <v>159</v>
      </c>
      <c r="W35" s="454">
        <f t="shared" si="4"/>
        <v>0.56317539484621781</v>
      </c>
    </row>
    <row r="36" spans="2:23" ht="16.5" x14ac:dyDescent="0.25">
      <c r="B36" s="787">
        <v>2011</v>
      </c>
      <c r="C36" s="795">
        <v>1800</v>
      </c>
      <c r="D36" s="791">
        <v>18</v>
      </c>
      <c r="E36" s="791">
        <v>123</v>
      </c>
      <c r="F36" s="791">
        <f t="shared" si="0"/>
        <v>141</v>
      </c>
      <c r="G36" s="795">
        <v>1502</v>
      </c>
      <c r="H36" s="792">
        <f t="shared" si="1"/>
        <v>0.84287317620650959</v>
      </c>
      <c r="I36" s="794">
        <f t="shared" si="5"/>
        <v>7.8333333333333338E-2</v>
      </c>
      <c r="J36" s="794">
        <f t="shared" si="6"/>
        <v>0.01</v>
      </c>
      <c r="K36" s="794">
        <f t="shared" si="6"/>
        <v>6.8333333333333329E-2</v>
      </c>
      <c r="L36" s="790"/>
      <c r="M36" s="793">
        <v>2011</v>
      </c>
      <c r="N36" s="796">
        <v>1117</v>
      </c>
      <c r="O36" s="793">
        <v>145</v>
      </c>
      <c r="P36" s="793">
        <v>954</v>
      </c>
      <c r="Q36" s="793">
        <v>2</v>
      </c>
      <c r="R36" s="793">
        <v>18</v>
      </c>
      <c r="S36" s="454">
        <f t="shared" si="7"/>
        <v>0.85586392121754695</v>
      </c>
      <c r="T36" s="420">
        <f t="shared" si="2"/>
        <v>383</v>
      </c>
      <c r="U36" s="420">
        <f t="shared" si="3"/>
        <v>298</v>
      </c>
      <c r="W36" s="454">
        <f t="shared" si="4"/>
        <v>0.74367509986684421</v>
      </c>
    </row>
    <row r="37" spans="2:23" ht="16.5" x14ac:dyDescent="0.25">
      <c r="B37" s="787">
        <v>2012</v>
      </c>
      <c r="C37" s="791">
        <v>512</v>
      </c>
      <c r="D37" s="791">
        <v>5</v>
      </c>
      <c r="E37" s="791">
        <v>45</v>
      </c>
      <c r="F37" s="791">
        <f t="shared" si="0"/>
        <v>50</v>
      </c>
      <c r="G37" s="791">
        <v>446</v>
      </c>
      <c r="H37" s="792">
        <f t="shared" si="1"/>
        <v>0.87968441814595666</v>
      </c>
      <c r="I37" s="794">
        <f t="shared" si="5"/>
        <v>9.765625E-2</v>
      </c>
      <c r="J37" s="794">
        <f t="shared" si="6"/>
        <v>9.765625E-3</v>
      </c>
      <c r="K37" s="794">
        <f t="shared" si="6"/>
        <v>8.7890625E-2</v>
      </c>
      <c r="L37" s="790"/>
      <c r="M37" s="793">
        <v>2012</v>
      </c>
      <c r="N37" s="793">
        <v>257</v>
      </c>
      <c r="O37" s="793">
        <v>52</v>
      </c>
      <c r="P37" s="793">
        <v>190</v>
      </c>
      <c r="Q37" s="793">
        <v>0</v>
      </c>
      <c r="R37" s="793">
        <v>15</v>
      </c>
      <c r="S37" s="454">
        <f t="shared" si="7"/>
        <v>0.73929961089494167</v>
      </c>
      <c r="T37" s="420">
        <f t="shared" si="2"/>
        <v>189</v>
      </c>
      <c r="U37" s="420">
        <f t="shared" si="3"/>
        <v>66</v>
      </c>
      <c r="W37" s="454">
        <f t="shared" si="4"/>
        <v>0.57623318385650224</v>
      </c>
    </row>
    <row r="38" spans="2:23" ht="16.5" x14ac:dyDescent="0.25">
      <c r="B38" s="787">
        <v>2013</v>
      </c>
      <c r="C38" s="795">
        <v>1137</v>
      </c>
      <c r="D38" s="791">
        <v>4</v>
      </c>
      <c r="E38" s="791">
        <v>49</v>
      </c>
      <c r="F38" s="791">
        <f t="shared" si="0"/>
        <v>53</v>
      </c>
      <c r="G38" s="791">
        <v>757</v>
      </c>
      <c r="H38" s="792">
        <f t="shared" si="1"/>
        <v>0.66813768755516323</v>
      </c>
      <c r="I38" s="794">
        <f t="shared" si="5"/>
        <v>4.6613896218117852E-2</v>
      </c>
      <c r="J38" s="794">
        <f t="shared" si="6"/>
        <v>3.5180299032541778E-3</v>
      </c>
      <c r="K38" s="794">
        <f t="shared" si="6"/>
        <v>4.3095866314863673E-2</v>
      </c>
      <c r="L38" s="790"/>
      <c r="M38" s="793">
        <v>2013</v>
      </c>
      <c r="N38" s="793">
        <v>272</v>
      </c>
      <c r="O38" s="793">
        <v>79</v>
      </c>
      <c r="P38" s="793">
        <v>191</v>
      </c>
      <c r="Q38" s="793">
        <v>0</v>
      </c>
      <c r="R38" s="793">
        <v>2</v>
      </c>
      <c r="S38" s="454">
        <f t="shared" si="7"/>
        <v>0.70220588235294112</v>
      </c>
      <c r="T38" s="420">
        <f t="shared" si="2"/>
        <v>485</v>
      </c>
      <c r="U38" s="420">
        <f t="shared" si="3"/>
        <v>380</v>
      </c>
      <c r="W38" s="454">
        <f t="shared" si="4"/>
        <v>0.35931307793923384</v>
      </c>
    </row>
    <row r="39" spans="2:23" ht="16.5" x14ac:dyDescent="0.25">
      <c r="B39" s="787">
        <v>2014</v>
      </c>
      <c r="C39" s="795">
        <v>2925</v>
      </c>
      <c r="D39" s="791">
        <v>6</v>
      </c>
      <c r="E39" s="791">
        <v>140</v>
      </c>
      <c r="F39" s="791">
        <f t="shared" si="0"/>
        <v>146</v>
      </c>
      <c r="G39" s="795">
        <v>2786</v>
      </c>
      <c r="H39" s="792">
        <f t="shared" si="1"/>
        <v>0.95443645083932849</v>
      </c>
      <c r="I39" s="794">
        <f t="shared" si="5"/>
        <v>4.9914529914529916E-2</v>
      </c>
      <c r="J39" s="794">
        <f t="shared" si="6"/>
        <v>2.0512820512820513E-3</v>
      </c>
      <c r="K39" s="794">
        <f t="shared" si="6"/>
        <v>4.7863247863247867E-2</v>
      </c>
      <c r="L39" s="790"/>
      <c r="M39" s="793">
        <v>2014</v>
      </c>
      <c r="N39" s="796">
        <v>1579</v>
      </c>
      <c r="O39" s="793">
        <v>453</v>
      </c>
      <c r="P39" s="796">
        <v>1062</v>
      </c>
      <c r="Q39" s="793">
        <v>0</v>
      </c>
      <c r="R39" s="793">
        <v>63</v>
      </c>
      <c r="S39" s="454">
        <f>(P39+Q39)/N39</f>
        <v>0.67257758074730845</v>
      </c>
      <c r="T39" s="420">
        <f t="shared" si="2"/>
        <v>1208</v>
      </c>
      <c r="U39" s="420">
        <f t="shared" si="3"/>
        <v>139</v>
      </c>
      <c r="W39" s="454">
        <f t="shared" si="4"/>
        <v>0.56676238334529794</v>
      </c>
    </row>
    <row r="40" spans="2:23" ht="16.5" x14ac:dyDescent="0.25">
      <c r="B40" s="787">
        <v>2015</v>
      </c>
      <c r="C40" s="795">
        <v>1740</v>
      </c>
      <c r="D40" s="791">
        <v>5</v>
      </c>
      <c r="E40" s="791">
        <v>102</v>
      </c>
      <c r="F40" s="791">
        <f t="shared" si="0"/>
        <v>107</v>
      </c>
      <c r="G40" s="791">
        <v>440</v>
      </c>
      <c r="H40" s="792">
        <f t="shared" si="1"/>
        <v>0.25360230547550433</v>
      </c>
      <c r="I40" s="794">
        <f t="shared" si="5"/>
        <v>6.1494252873563221E-2</v>
      </c>
      <c r="J40" s="794">
        <f t="shared" si="6"/>
        <v>2.8735632183908046E-3</v>
      </c>
      <c r="K40" s="794">
        <f t="shared" si="6"/>
        <v>5.8620689655172413E-2</v>
      </c>
      <c r="L40" s="790"/>
      <c r="N40" s="797">
        <v>91</v>
      </c>
      <c r="O40" s="798">
        <f>N40-P40</f>
        <v>26.872813422145867</v>
      </c>
      <c r="P40" s="798">
        <f>N40*AVERAGE(S$37:S$39)</f>
        <v>64.127186577854133</v>
      </c>
      <c r="T40" s="420">
        <f t="shared" si="2"/>
        <v>349</v>
      </c>
      <c r="U40" s="420">
        <f t="shared" si="3"/>
        <v>1300</v>
      </c>
      <c r="W40" s="454">
        <f t="shared" si="4"/>
        <v>0.20681818181818182</v>
      </c>
    </row>
    <row r="41" spans="2:23" x14ac:dyDescent="0.25">
      <c r="B41" s="787">
        <v>2016</v>
      </c>
      <c r="C41" s="791">
        <v>944</v>
      </c>
      <c r="D41" s="791">
        <v>4</v>
      </c>
      <c r="E41" s="791">
        <v>43</v>
      </c>
      <c r="F41" s="791">
        <f t="shared" si="0"/>
        <v>47</v>
      </c>
      <c r="G41" s="791">
        <v>815</v>
      </c>
      <c r="H41" s="792">
        <f t="shared" si="1"/>
        <v>0.86702127659574468</v>
      </c>
      <c r="I41" s="794">
        <f>(D41+E41)/C41</f>
        <v>4.9788135593220338E-2</v>
      </c>
      <c r="J41" s="794">
        <f t="shared" si="6"/>
        <v>4.2372881355932203E-3</v>
      </c>
      <c r="K41" s="794">
        <f t="shared" si="6"/>
        <v>4.5550847457627115E-2</v>
      </c>
      <c r="L41" s="790"/>
      <c r="N41" s="799">
        <v>595</v>
      </c>
      <c r="O41" s="798">
        <f>N41-P41</f>
        <v>175.70685699095372</v>
      </c>
      <c r="P41" s="798">
        <f>N41*AVERAGE(S$37:S$39)</f>
        <v>419.29314300904628</v>
      </c>
      <c r="T41" s="420">
        <f t="shared" si="2"/>
        <v>220</v>
      </c>
      <c r="U41" s="420">
        <f t="shared" si="3"/>
        <v>129</v>
      </c>
      <c r="W41" s="454">
        <f t="shared" si="4"/>
        <v>0.73006134969325154</v>
      </c>
    </row>
    <row r="42" spans="2:23" x14ac:dyDescent="0.25">
      <c r="B42" s="799">
        <v>2017</v>
      </c>
      <c r="N42" s="450">
        <v>159</v>
      </c>
    </row>
    <row r="43" spans="2:23" x14ac:dyDescent="0.25">
      <c r="B43" s="799"/>
      <c r="N43" s="450"/>
    </row>
    <row r="44" spans="2:23" x14ac:dyDescent="0.25">
      <c r="C44" s="429">
        <f>AVERAGE(C32:C41)</f>
        <v>1414.9</v>
      </c>
      <c r="D44" s="429">
        <f>AVERAGE(D32:D41)</f>
        <v>5.9</v>
      </c>
      <c r="E44" s="429">
        <f>AVERAGE(E32:E41)</f>
        <v>79.900000000000006</v>
      </c>
      <c r="F44" s="429">
        <f>AVERAGE(F32:F41)</f>
        <v>85.8</v>
      </c>
      <c r="G44" s="429">
        <f>AVERAGE(G32:G41)</f>
        <v>1152</v>
      </c>
      <c r="H44" s="800">
        <f>AVERAGE(H32:H42)</f>
        <v>0.82343527461180899</v>
      </c>
      <c r="I44" s="801">
        <f>AVERAGE(I32:I42)</f>
        <v>6.1083675216350511E-2</v>
      </c>
      <c r="J44" s="801">
        <f t="shared" ref="J44:K44" si="8">AVERAGE(J32:J42)</f>
        <v>4.4416767897870512E-3</v>
      </c>
      <c r="K44" s="801">
        <f t="shared" si="8"/>
        <v>5.6641998426563443E-2</v>
      </c>
      <c r="N44" s="255">
        <f>AVERAGE(N32:N41)</f>
        <v>674.8</v>
      </c>
      <c r="O44" s="255">
        <f>AVERAGE(O32:O41)</f>
        <v>133.85796704130993</v>
      </c>
      <c r="P44" s="255">
        <f>AVERAGE(P32:P41)</f>
        <v>521.14203295869015</v>
      </c>
      <c r="S44" s="802">
        <f>AVERAGE(S37:S39)</f>
        <v>0.70469435799839708</v>
      </c>
      <c r="W44" s="802">
        <f>AVERAGE(W32:W41)</f>
        <v>0.51227537362138276</v>
      </c>
    </row>
    <row r="45" spans="2:23" x14ac:dyDescent="0.25">
      <c r="G45" s="803" t="s">
        <v>559</v>
      </c>
      <c r="H45" s="804">
        <v>0.73199999999999998</v>
      </c>
      <c r="I45" s="804"/>
      <c r="J45" s="804"/>
      <c r="K45" s="804"/>
      <c r="O45" s="805">
        <f>O44/(O44+P44)</f>
        <v>0.20436330846001513</v>
      </c>
      <c r="P45" s="805">
        <f>P44/(P44+O44)</f>
        <v>0.79563669153998484</v>
      </c>
    </row>
    <row r="47" spans="2:23" x14ac:dyDescent="0.25">
      <c r="E47" s="429" t="s">
        <v>450</v>
      </c>
      <c r="F47" s="806">
        <f>F44*S44</f>
        <v>60.462775916262466</v>
      </c>
    </row>
    <row r="48" spans="2:23" x14ac:dyDescent="0.25">
      <c r="E48" s="429" t="s">
        <v>461</v>
      </c>
      <c r="F48" s="806">
        <f>F44-F47</f>
        <v>25.337224083737532</v>
      </c>
    </row>
  </sheetData>
  <mergeCells count="6">
    <mergeCell ref="Q3:Q4"/>
    <mergeCell ref="L2:L3"/>
    <mergeCell ref="M3:M4"/>
    <mergeCell ref="N3:N4"/>
    <mergeCell ref="O3:O4"/>
    <mergeCell ref="P3:P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Summary</vt:lpstr>
      <vt:lpstr>Snake River Steelhead 1</vt:lpstr>
      <vt:lpstr>Snake River Steelhead 2</vt:lpstr>
      <vt:lpstr>Snake River SpSU 1</vt:lpstr>
      <vt:lpstr>Snake River SpSu 2</vt:lpstr>
      <vt:lpstr>Snake River Fall Chinook 1</vt:lpstr>
      <vt:lpstr>Snake River Falls Chinook 2</vt:lpstr>
      <vt:lpstr>Snake River Sockeye 1</vt:lpstr>
      <vt:lpstr>Snake River Sockeye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Edmondson</dc:creator>
  <cp:lastModifiedBy>Mike Edmondson</cp:lastModifiedBy>
  <cp:lastPrinted>2019-07-02T14:56:25Z</cp:lastPrinted>
  <dcterms:created xsi:type="dcterms:W3CDTF">2019-07-01T21:00:56Z</dcterms:created>
  <dcterms:modified xsi:type="dcterms:W3CDTF">2019-08-09T17:53:25Z</dcterms:modified>
</cp:coreProperties>
</file>